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omments1.xml" ContentType="application/vnd.openxmlformats-officedocument.spreadsheetml.comments+xml"/>
  <Override PartName="/xl/drawings/drawing3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Sistemas\Desktop\Documentacion Emcaservicios PDF\Procedimientos\Infraestructuraojooooooo1 error\"/>
    </mc:Choice>
  </mc:AlternateContent>
  <bookViews>
    <workbookView xWindow="-15" yWindow="525" windowWidth="14445" windowHeight="12315" tabRatio="909" activeTab="2"/>
  </bookViews>
  <sheets>
    <sheet name="DATOS" sheetId="1" r:id="rId1"/>
    <sheet name="AUX" sheetId="2" state="hidden" r:id="rId2"/>
    <sheet name="INICIO" sheetId="3" r:id="rId3"/>
    <sheet name="PPTO" sheetId="5" r:id="rId4"/>
    <sheet name="ACTA MODIFICACIÓN No.1" sheetId="22" r:id="rId5"/>
    <sheet name="PREACTA" sheetId="26" r:id="rId6"/>
    <sheet name="ACTA PARCIAL No.1" sheetId="6" r:id="rId7"/>
    <sheet name="ACTA PARCIAL No.4" sheetId="28" state="hidden" r:id="rId8"/>
    <sheet name="ACTA PARCIAL No.5" sheetId="29" state="hidden" r:id="rId9"/>
    <sheet name="ACTA PARCIAL No.6" sheetId="30" state="hidden" r:id="rId10"/>
    <sheet name="ACTA PARCIAL No.7" sheetId="31" state="hidden" r:id="rId11"/>
    <sheet name="ACTA PARCIAL No.8" sheetId="32" state="hidden" r:id="rId12"/>
    <sheet name="ACTA PARCIAL No.9" sheetId="33" state="hidden" r:id="rId13"/>
    <sheet name="ACTA PARCIAL No.10" sheetId="34" state="hidden" r:id="rId14"/>
    <sheet name="ACTA MODIFICACIÓN No.2" sheetId="24" state="hidden" r:id="rId15"/>
    <sheet name="ACTA MODIFICACIÓN No.3" sheetId="25" state="hidden" r:id="rId16"/>
    <sheet name="ACTA FINAL" sheetId="35" r:id="rId17"/>
    <sheet name="SUSP 1" sheetId="10" r:id="rId18"/>
    <sheet name="REINIC 1" sheetId="20" r:id="rId19"/>
    <sheet name="SUSP 2" sheetId="45" r:id="rId20"/>
    <sheet name="REINIC 2" sheetId="46" r:id="rId21"/>
    <sheet name="ACTA ENTREGA DE OBRAS" sheetId="47" r:id="rId22"/>
    <sheet name="SUSP 3" sheetId="12" r:id="rId23"/>
    <sheet name="REINIC 3" sheetId="48" r:id="rId24"/>
    <sheet name="REINIC 8" sheetId="53" state="hidden" r:id="rId25"/>
    <sheet name="REINIC 9" sheetId="54" state="hidden" r:id="rId26"/>
    <sheet name="REINIC 10" sheetId="55" state="hidden" r:id="rId27"/>
    <sheet name="SUSP 4" sheetId="13" state="hidden" r:id="rId28"/>
    <sheet name="SUSP 5" sheetId="14" state="hidden" r:id="rId29"/>
    <sheet name="SUSP 6" sheetId="15" state="hidden" r:id="rId30"/>
    <sheet name="SUSP 7" sheetId="16" state="hidden" r:id="rId31"/>
    <sheet name="SUSP 8" sheetId="17" state="hidden" r:id="rId32"/>
    <sheet name="SUSP 9" sheetId="18" state="hidden" r:id="rId33"/>
    <sheet name="SUSP 10" sheetId="19" state="hidden" r:id="rId34"/>
    <sheet name="BALANCE REFORMULACION " sheetId="57" r:id="rId35"/>
    <sheet name="BALANCE REFORMULACION" sheetId="56" state="hidden" r:id="rId36"/>
    <sheet name="ACTA DE LIQUIDACION  " sheetId="59" r:id="rId37"/>
  </sheets>
  <externalReferences>
    <externalReference r:id="rId38"/>
    <externalReference r:id="rId39"/>
    <externalReference r:id="rId40"/>
    <externalReference r:id="rId41"/>
  </externalReferences>
  <definedNames>
    <definedName name="_" localSheetId="35">#REF!</definedName>
    <definedName name="_" localSheetId="34">#REF!</definedName>
    <definedName name="_">#REF!</definedName>
    <definedName name="A_impresión_IM" localSheetId="35">#REF!</definedName>
    <definedName name="A_impresión_IM" localSheetId="34">#REF!</definedName>
    <definedName name="A_impresión_IM">#REF!</definedName>
    <definedName name="Adm">[1]listado!$G$125</definedName>
    <definedName name="_xlnm.Print_Area" localSheetId="36">'ACTA DE LIQUIDACION  '!$B$1:$J$158</definedName>
    <definedName name="_xlnm.Print_Area" localSheetId="16">'ACTA FINAL'!$A$1:$L$133</definedName>
    <definedName name="_xlnm.Print_Area" localSheetId="4">'ACTA MODIFICACIÓN No.1'!$A$1:$N$117</definedName>
    <definedName name="_xlnm.Print_Area" localSheetId="14">'ACTA MODIFICACIÓN No.2'!$A$1:$N$116</definedName>
    <definedName name="_xlnm.Print_Area" localSheetId="15">'ACTA MODIFICACIÓN No.3'!$A$1:$N$116</definedName>
    <definedName name="_xlnm.Print_Area" localSheetId="6">'ACTA PARCIAL No.1'!$A$1:$L$123</definedName>
    <definedName name="_xlnm.Print_Area" localSheetId="13">'ACTA PARCIAL No.10'!$A$1:$L$132</definedName>
    <definedName name="_xlnm.Print_Area" localSheetId="7">'ACTA PARCIAL No.4'!$A$1:$L$126</definedName>
    <definedName name="_xlnm.Print_Area" localSheetId="8">'ACTA PARCIAL No.5'!$A$1:$L$127</definedName>
    <definedName name="_xlnm.Print_Area" localSheetId="9">'ACTA PARCIAL No.6'!$A$1:$L$128</definedName>
    <definedName name="_xlnm.Print_Area" localSheetId="10">'ACTA PARCIAL No.7'!$A$1:$L$129</definedName>
    <definedName name="_xlnm.Print_Area" localSheetId="11">'ACTA PARCIAL No.8'!$A$1:$L$130</definedName>
    <definedName name="_xlnm.Print_Area" localSheetId="12">'ACTA PARCIAL No.9'!$A$1:$L$131</definedName>
    <definedName name="_xlnm.Print_Area" localSheetId="0">DATOS!$A$1:$L$203</definedName>
    <definedName name="_xlnm.Print_Area" localSheetId="2">INICIO!$A$1:$I$41</definedName>
    <definedName name="_xlnm.Print_Area" localSheetId="3">PPTO!$A$1:$I$105</definedName>
    <definedName name="_xlnm.Print_Area" localSheetId="18">'REINIC 1'!$A$1:$I$64</definedName>
    <definedName name="_xlnm.Print_Area" localSheetId="26">'REINIC 10'!$A$1:$I$56</definedName>
    <definedName name="_xlnm.Print_Area" localSheetId="20">'REINIC 2'!$A$1:$I$63</definedName>
    <definedName name="_xlnm.Print_Area" localSheetId="23">'REINIC 3'!$A$1:$I$63</definedName>
    <definedName name="_xlnm.Print_Area" localSheetId="24">'REINIC 8'!$A$1:$I$56</definedName>
    <definedName name="_xlnm.Print_Area" localSheetId="25">'REINIC 9'!$A$1:$I$56</definedName>
    <definedName name="_xlnm.Print_Area" localSheetId="17">'SUSP 1'!$A$1:$I$56</definedName>
    <definedName name="_xlnm.Print_Area" localSheetId="33">'SUSP 10'!$A$1:$I$49</definedName>
    <definedName name="_xlnm.Print_Area" localSheetId="22">'SUSP 3'!$A$1:$I$56</definedName>
    <definedName name="_xlnm.Print_Area" localSheetId="27">'SUSP 4'!$A$1:$I$49</definedName>
    <definedName name="_xlnm.Print_Area" localSheetId="28">'SUSP 5'!$A$1:$I$49</definedName>
    <definedName name="_xlnm.Print_Area" localSheetId="29">'SUSP 6'!$A$1:$I$49</definedName>
    <definedName name="_xlnm.Print_Area" localSheetId="30">'SUSP 7'!$A$1:$I$49</definedName>
    <definedName name="_xlnm.Print_Area" localSheetId="31">'SUSP 8'!$A$1:$I$49</definedName>
    <definedName name="_xlnm.Print_Area" localSheetId="32">'SUSP 9'!$A$1:$I$49</definedName>
    <definedName name="AyudanteHR">[2]F.Prestacional!$E$10</definedName>
    <definedName name="BASICOS" localSheetId="35">#REF!</definedName>
    <definedName name="BASICOS" localSheetId="34">#REF!</definedName>
    <definedName name="BASICOS">#REF!</definedName>
    <definedName name="BudgetTab" localSheetId="35">#REF!</definedName>
    <definedName name="BudgetTab" localSheetId="34">#REF!</definedName>
    <definedName name="BudgetTab">#REF!</definedName>
    <definedName name="C_" localSheetId="35">#REF!</definedName>
    <definedName name="C_" localSheetId="34">#REF!</definedName>
    <definedName name="C_">#REF!</definedName>
    <definedName name="CASTILLO" localSheetId="35">#REF!</definedName>
    <definedName name="CASTILLO" localSheetId="34">#REF!</definedName>
    <definedName name="CASTILLO">#REF!</definedName>
    <definedName name="CDCT" localSheetId="35">#REF!</definedName>
    <definedName name="CDCT" localSheetId="34">#REF!</definedName>
    <definedName name="CDCT">#REF!</definedName>
    <definedName name="CeldCanti" localSheetId="35">#REF!</definedName>
    <definedName name="CeldCanti" localSheetId="34">#REF!</definedName>
    <definedName name="CeldCanti">#REF!</definedName>
    <definedName name="CELDVRUNIT1" localSheetId="35">#REF!</definedName>
    <definedName name="CELDVRUNIT1" localSheetId="34">#REF!</definedName>
    <definedName name="CELDVRUNIT1">#REF!</definedName>
    <definedName name="COSTIND" localSheetId="35">#REF!</definedName>
    <definedName name="COSTIND" localSheetId="34">#REF!</definedName>
    <definedName name="COSTIND">#REF!</definedName>
    <definedName name="DescripPpto" localSheetId="35">#REF!</definedName>
    <definedName name="DescripPpto" localSheetId="34">#REF!</definedName>
    <definedName name="DescripPpto">#REF!</definedName>
    <definedName name="FormLinPresup" localSheetId="35">#REF!</definedName>
    <definedName name="FormLinPresup" localSheetId="34">#REF!</definedName>
    <definedName name="FormLinPresup">#REF!</definedName>
    <definedName name="Imprev">[1]listado!$G$126</definedName>
    <definedName name="IvaSUtl">[1]listado!$G$129</definedName>
    <definedName name="L_" localSheetId="35">#REF!</definedName>
    <definedName name="L_" localSheetId="34">#REF!</definedName>
    <definedName name="L_">#REF!</definedName>
    <definedName name="LineaPresup" localSheetId="35">#REF!</definedName>
    <definedName name="LineaPresup" localSheetId="34">#REF!</definedName>
    <definedName name="LineaPresup">#REF!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VOCD">[2]INSUMOS!$P$6</definedName>
    <definedName name="OficialHR">[2]F.Prestacional!$G$10</definedName>
    <definedName name="q_t_" localSheetId="35">#REF!</definedName>
    <definedName name="q_t_" localSheetId="34">#REF!</definedName>
    <definedName name="q_t_">#REF!</definedName>
    <definedName name="q0" localSheetId="35">#REF!</definedName>
    <definedName name="q0" localSheetId="34">#REF!</definedName>
    <definedName name="q0">#REF!</definedName>
    <definedName name="R_" localSheetId="35">#REF!</definedName>
    <definedName name="R_" localSheetId="34">#REF!</definedName>
    <definedName name="R_">#REF!</definedName>
    <definedName name="ResEquipo" localSheetId="35">#REF!</definedName>
    <definedName name="ResEquipo" localSheetId="34">#REF!</definedName>
    <definedName name="ResEquipo">#REF!</definedName>
    <definedName name="ResMateriales" localSheetId="35">#REF!</definedName>
    <definedName name="ResMateriales" localSheetId="34">#REF!</definedName>
    <definedName name="ResMateriales">#REF!</definedName>
    <definedName name="ResMO" localSheetId="35">#REF!</definedName>
    <definedName name="ResMO" localSheetId="34">#REF!</definedName>
    <definedName name="ResMO">#REF!</definedName>
    <definedName name="ResOtros" localSheetId="35">#REF!</definedName>
    <definedName name="ResOtros" localSheetId="34">#REF!</definedName>
    <definedName name="ResOtros">#REF!</definedName>
    <definedName name="ResUnit_CD" localSheetId="35">#REF!</definedName>
    <definedName name="ResUnit_CD" localSheetId="34">#REF!</definedName>
    <definedName name="ResUnit_CD">#REF!</definedName>
    <definedName name="SbtPpto" localSheetId="35">#REF!</definedName>
    <definedName name="SbtPpto" localSheetId="34">#REF!</definedName>
    <definedName name="SbtPpto">#REF!</definedName>
    <definedName name="t_" localSheetId="35">#REF!</definedName>
    <definedName name="t_" localSheetId="34">#REF!</definedName>
    <definedName name="t_">#REF!</definedName>
    <definedName name="_xlnm.Print_Titles" localSheetId="21">'ACTA ENTREGA DE OBRAS'!$1:$4</definedName>
    <definedName name="_xlnm.Print_Titles" localSheetId="16">'ACTA FINAL'!$1:$17</definedName>
    <definedName name="_xlnm.Print_Titles" localSheetId="4">'ACTA MODIFICACIÓN No.1'!$1:$18</definedName>
    <definedName name="_xlnm.Print_Titles" localSheetId="14">'ACTA MODIFICACIÓN No.2'!$1:$18</definedName>
    <definedName name="_xlnm.Print_Titles" localSheetId="15">'ACTA MODIFICACIÓN No.3'!$1:$18</definedName>
    <definedName name="_xlnm.Print_Titles" localSheetId="6">'ACTA PARCIAL No.1'!$1:$17</definedName>
    <definedName name="_xlnm.Print_Titles" localSheetId="13">'ACTA PARCIAL No.10'!$1:$17</definedName>
    <definedName name="_xlnm.Print_Titles" localSheetId="7">'ACTA PARCIAL No.4'!$1:$17</definedName>
    <definedName name="_xlnm.Print_Titles" localSheetId="8">'ACTA PARCIAL No.5'!$1:$17</definedName>
    <definedName name="_xlnm.Print_Titles" localSheetId="9">'ACTA PARCIAL No.6'!$1:$17</definedName>
    <definedName name="_xlnm.Print_Titles" localSheetId="10">'ACTA PARCIAL No.7'!$1:$17</definedName>
    <definedName name="_xlnm.Print_Titles" localSheetId="11">'ACTA PARCIAL No.8'!$1:$17</definedName>
    <definedName name="_xlnm.Print_Titles" localSheetId="12">'ACTA PARCIAL No.9'!$1:$17</definedName>
    <definedName name="_xlnm.Print_Titles" localSheetId="3">PPTO!$1:$6</definedName>
    <definedName name="_xlnm.Print_Titles" localSheetId="18">'REINIC 1'!$1:$4</definedName>
    <definedName name="_xlnm.Print_Titles" localSheetId="26">'REINIC 10'!$1:$4</definedName>
    <definedName name="_xlnm.Print_Titles" localSheetId="20">'REINIC 2'!$1:$4</definedName>
    <definedName name="_xlnm.Print_Titles" localSheetId="23">'REINIC 3'!$1:$4</definedName>
    <definedName name="_xlnm.Print_Titles" localSheetId="24">'REINIC 8'!$1:$4</definedName>
    <definedName name="_xlnm.Print_Titles" localSheetId="25">'REINIC 9'!$1:$4</definedName>
    <definedName name="_xlnm.Print_Titles" localSheetId="17">'SUSP 1'!$1:$4</definedName>
    <definedName name="_xlnm.Print_Titles" localSheetId="33">'SUSP 10'!$1:$4</definedName>
    <definedName name="_xlnm.Print_Titles" localSheetId="19">'SUSP 2'!$1:$4</definedName>
    <definedName name="_xlnm.Print_Titles" localSheetId="22">'SUSP 3'!$1:$4</definedName>
    <definedName name="_xlnm.Print_Titles" localSheetId="27">'SUSP 4'!$1:$4</definedName>
    <definedName name="_xlnm.Print_Titles" localSheetId="28">'SUSP 5'!$1:$4</definedName>
    <definedName name="_xlnm.Print_Titles" localSheetId="29">'SUSP 6'!$1:$4</definedName>
    <definedName name="_xlnm.Print_Titles" localSheetId="30">'SUSP 7'!$1:$4</definedName>
    <definedName name="_xlnm.Print_Titles" localSheetId="31">'SUSP 8'!$1:$4</definedName>
    <definedName name="_xlnm.Print_Titles" localSheetId="32">'SUSP 9'!$1:$4</definedName>
    <definedName name="TotalAIU" localSheetId="35">#REF!</definedName>
    <definedName name="TotalAIU" localSheetId="34">#REF!</definedName>
    <definedName name="TotalAIU">#REF!</definedName>
    <definedName name="TtlCD" localSheetId="35">#REF!</definedName>
    <definedName name="TtlCD" localSheetId="34">#REF!</definedName>
    <definedName name="TtlCD">#REF!</definedName>
    <definedName name="TtlCDCronog">[2]CRONOGRAMA!$G$21</definedName>
    <definedName name="UNIT" localSheetId="35">#REF!</definedName>
    <definedName name="UNIT" localSheetId="34">#REF!</definedName>
    <definedName name="UNIT">#REF!</definedName>
    <definedName name="Utilidad">[1]listado!$G$127</definedName>
    <definedName name="VRTTLPPTO" localSheetId="35">#REF!</definedName>
    <definedName name="VRTTLPPTO" localSheetId="34">#REF!</definedName>
    <definedName name="VRTTLPPTO">#REF!</definedName>
    <definedName name="VRTTLUNDS" localSheetId="35">#REF!</definedName>
    <definedName name="VRTTLUNDS" localSheetId="34">#REF!</definedName>
    <definedName name="VRTTLUNDS">#REF!</definedName>
    <definedName name="VrUtilidad" localSheetId="35">#REF!</definedName>
    <definedName name="VrUtilidad" localSheetId="34">#REF!</definedName>
    <definedName name="VrUtilidad">#REF!</definedName>
    <definedName name="xxxxxx" localSheetId="34">#REF!</definedName>
    <definedName name="xxxxxx">#REF!</definedName>
    <definedName name="xxxxxxxxx" localSheetId="34">#REF!</definedName>
    <definedName name="xxxxxxxxx">#REF!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41" i="59" l="1"/>
  <c r="F52" i="48"/>
  <c r="B52" i="48"/>
  <c r="F52" i="46"/>
  <c r="B52" i="46"/>
  <c r="B46" i="12" l="1"/>
  <c r="B38" i="12"/>
  <c r="F38" i="12"/>
  <c r="B39" i="12"/>
  <c r="F39" i="12"/>
  <c r="B40" i="12"/>
  <c r="F40" i="12"/>
  <c r="B53" i="12"/>
  <c r="F46" i="12"/>
  <c r="B53" i="45"/>
  <c r="F46" i="45"/>
  <c r="B46" i="45"/>
  <c r="F41" i="45"/>
  <c r="B41" i="45"/>
  <c r="F40" i="45"/>
  <c r="B40" i="45"/>
  <c r="F39" i="45"/>
  <c r="B39" i="45"/>
  <c r="B53" i="20"/>
  <c r="B46" i="10"/>
  <c r="F148" i="59"/>
  <c r="C141" i="59"/>
  <c r="C148" i="59"/>
  <c r="I154" i="59"/>
  <c r="B60" i="48"/>
  <c r="B60" i="46"/>
  <c r="F53" i="20"/>
  <c r="F46" i="10"/>
  <c r="J130" i="35"/>
  <c r="J120" i="6"/>
  <c r="H104" i="22"/>
  <c r="A33" i="3"/>
  <c r="D16" i="59" l="1"/>
  <c r="D14" i="59"/>
  <c r="D8" i="59"/>
  <c r="D12" i="59"/>
  <c r="D9" i="59"/>
  <c r="F2" i="6"/>
  <c r="H86" i="59"/>
  <c r="H80" i="59"/>
  <c r="H75" i="59"/>
  <c r="E75" i="59"/>
  <c r="H60" i="59"/>
  <c r="H85" i="59" s="1"/>
  <c r="H59" i="59"/>
  <c r="H84" i="59" s="1"/>
  <c r="H58" i="59"/>
  <c r="H83" i="59" s="1"/>
  <c r="H57" i="59"/>
  <c r="H82" i="59" s="1"/>
  <c r="H56" i="59"/>
  <c r="H81" i="59" s="1"/>
  <c r="H50" i="59"/>
  <c r="H48" i="59"/>
  <c r="E55" i="59" s="1"/>
  <c r="E79" i="59" s="1"/>
  <c r="H47" i="59"/>
  <c r="E78" i="59" s="1"/>
  <c r="H49" i="59" l="1"/>
  <c r="H51" i="59" s="1"/>
  <c r="E90" i="59" s="1"/>
  <c r="E91" i="59" s="1"/>
  <c r="H91" i="59"/>
  <c r="E54" i="59"/>
  <c r="E65" i="59" l="1"/>
  <c r="H64" i="59"/>
  <c r="H65" i="59" s="1"/>
  <c r="C12" i="46"/>
  <c r="K38" i="57" l="1"/>
  <c r="L35" i="57"/>
  <c r="L34" i="57"/>
  <c r="K34" i="57"/>
  <c r="K35" i="57" s="1"/>
  <c r="N34" i="57"/>
  <c r="N35" i="57" s="1"/>
  <c r="H34" i="57"/>
  <c r="H35" i="57" s="1"/>
  <c r="G12" i="57"/>
  <c r="H3" i="57"/>
  <c r="G3" i="57"/>
  <c r="G2" i="57"/>
  <c r="G1" i="57"/>
  <c r="N38" i="57" l="1"/>
  <c r="H40" i="57"/>
  <c r="H20" i="57" s="1"/>
  <c r="G3" i="56"/>
  <c r="G2" i="56"/>
  <c r="G1" i="56"/>
  <c r="H22" i="57" l="1"/>
  <c r="H23" i="57"/>
  <c r="H25" i="57" s="1"/>
  <c r="H24" i="57" s="1"/>
  <c r="H27" i="57" s="1"/>
  <c r="H29" i="57" s="1"/>
  <c r="H21" i="57"/>
  <c r="K40" i="57"/>
  <c r="K20" i="57" s="1"/>
  <c r="N40" i="57"/>
  <c r="N20" i="57" s="1"/>
  <c r="F6" i="6"/>
  <c r="AI6" i="26"/>
  <c r="K23" i="57" l="1"/>
  <c r="K25" i="57" s="1"/>
  <c r="K24" i="57" s="1"/>
  <c r="K27" i="57" s="1"/>
  <c r="K21" i="57"/>
  <c r="K22" i="57"/>
  <c r="M20" i="57"/>
  <c r="N23" i="57"/>
  <c r="N25" i="57" s="1"/>
  <c r="N21" i="57"/>
  <c r="N22" i="57"/>
  <c r="L33" i="56"/>
  <c r="N24" i="57" l="1"/>
  <c r="N27" i="57" s="1"/>
  <c r="I11" i="57" s="1"/>
  <c r="I12" i="57" s="1"/>
  <c r="I13" i="57" s="1"/>
  <c r="G11" i="57"/>
  <c r="K29" i="57"/>
  <c r="H33" i="56"/>
  <c r="H3" i="56"/>
  <c r="L311" i="56"/>
  <c r="N311" i="56" s="1"/>
  <c r="L310" i="56"/>
  <c r="N310" i="56" s="1"/>
  <c r="K310" i="56"/>
  <c r="L309" i="56"/>
  <c r="N309" i="56" s="1"/>
  <c r="K309" i="56"/>
  <c r="L308" i="56"/>
  <c r="N308" i="56" s="1"/>
  <c r="L307" i="56"/>
  <c r="N307" i="56" s="1"/>
  <c r="L306" i="56"/>
  <c r="N306" i="56" s="1"/>
  <c r="L305" i="56"/>
  <c r="N305" i="56" s="1"/>
  <c r="L304" i="56"/>
  <c r="N304" i="56" s="1"/>
  <c r="L303" i="56"/>
  <c r="N303" i="56" s="1"/>
  <c r="L302" i="56"/>
  <c r="N302" i="56" s="1"/>
  <c r="L301" i="56"/>
  <c r="N301" i="56" s="1"/>
  <c r="K301" i="56"/>
  <c r="L300" i="56"/>
  <c r="N300" i="56" s="1"/>
  <c r="K300" i="56"/>
  <c r="L299" i="56"/>
  <c r="N299" i="56" s="1"/>
  <c r="K299" i="56"/>
  <c r="Q298" i="56"/>
  <c r="L298" i="56"/>
  <c r="N298" i="56" s="1"/>
  <c r="K298" i="56"/>
  <c r="L297" i="56"/>
  <c r="N297" i="56" s="1"/>
  <c r="K297" i="56"/>
  <c r="L296" i="56"/>
  <c r="N296" i="56" s="1"/>
  <c r="K296" i="56"/>
  <c r="L295" i="56"/>
  <c r="N295" i="56" s="1"/>
  <c r="K295" i="56"/>
  <c r="L294" i="56"/>
  <c r="N294" i="56" s="1"/>
  <c r="K294" i="56"/>
  <c r="L293" i="56"/>
  <c r="N293" i="56" s="1"/>
  <c r="K293" i="56"/>
  <c r="L292" i="56"/>
  <c r="N292" i="56" s="1"/>
  <c r="K292" i="56"/>
  <c r="L291" i="56"/>
  <c r="N291" i="56" s="1"/>
  <c r="K291" i="56"/>
  <c r="L290" i="56"/>
  <c r="N290" i="56" s="1"/>
  <c r="L289" i="56"/>
  <c r="N289" i="56" s="1"/>
  <c r="L288" i="56"/>
  <c r="N288" i="56" s="1"/>
  <c r="L287" i="56"/>
  <c r="N287" i="56" s="1"/>
  <c r="L286" i="56"/>
  <c r="N286" i="56" s="1"/>
  <c r="L285" i="56"/>
  <c r="N285" i="56" s="1"/>
  <c r="L284" i="56"/>
  <c r="N284" i="56" s="1"/>
  <c r="Q283" i="56"/>
  <c r="L283" i="56"/>
  <c r="N283" i="56" s="1"/>
  <c r="L282" i="56"/>
  <c r="N282" i="56" s="1"/>
  <c r="L277" i="56"/>
  <c r="N277" i="56" s="1"/>
  <c r="K277" i="56"/>
  <c r="H277" i="56"/>
  <c r="L276" i="56"/>
  <c r="N276" i="56" s="1"/>
  <c r="K276" i="56"/>
  <c r="H276" i="56"/>
  <c r="L275" i="56"/>
  <c r="N275" i="56" s="1"/>
  <c r="K275" i="56"/>
  <c r="H275" i="56"/>
  <c r="L274" i="56"/>
  <c r="N274" i="56" s="1"/>
  <c r="K274" i="56"/>
  <c r="H274" i="56"/>
  <c r="L273" i="56"/>
  <c r="N273" i="56" s="1"/>
  <c r="K273" i="56"/>
  <c r="H273" i="56"/>
  <c r="L272" i="56"/>
  <c r="N272" i="56" s="1"/>
  <c r="K272" i="56"/>
  <c r="H272" i="56"/>
  <c r="L271" i="56"/>
  <c r="N271" i="56" s="1"/>
  <c r="K271" i="56"/>
  <c r="H271" i="56"/>
  <c r="L270" i="56"/>
  <c r="N270" i="56" s="1"/>
  <c r="K270" i="56"/>
  <c r="H270" i="56"/>
  <c r="L269" i="56"/>
  <c r="N269" i="56" s="1"/>
  <c r="K269" i="56"/>
  <c r="H269" i="56"/>
  <c r="L268" i="56"/>
  <c r="L267" i="56"/>
  <c r="L266" i="56"/>
  <c r="L265" i="56"/>
  <c r="L264" i="56"/>
  <c r="N264" i="56" s="1"/>
  <c r="K264" i="56"/>
  <c r="H264" i="56"/>
  <c r="P263" i="56"/>
  <c r="L263" i="56"/>
  <c r="N263" i="56" s="1"/>
  <c r="K263" i="56"/>
  <c r="H263" i="56"/>
  <c r="L262" i="56"/>
  <c r="N262" i="56" s="1"/>
  <c r="K262" i="56"/>
  <c r="H262" i="56"/>
  <c r="P261" i="56"/>
  <c r="L261" i="56"/>
  <c r="N261" i="56" s="1"/>
  <c r="K261" i="56"/>
  <c r="H261" i="56"/>
  <c r="L260" i="56"/>
  <c r="L259" i="56"/>
  <c r="P258" i="56"/>
  <c r="L258" i="56"/>
  <c r="N258" i="56" s="1"/>
  <c r="K258" i="56"/>
  <c r="H258" i="56"/>
  <c r="P257" i="56"/>
  <c r="Q257" i="56" s="1"/>
  <c r="L257" i="56"/>
  <c r="N257" i="56" s="1"/>
  <c r="K257" i="56"/>
  <c r="H257" i="56"/>
  <c r="L256" i="56"/>
  <c r="N256" i="56" s="1"/>
  <c r="K256" i="56"/>
  <c r="H256" i="56"/>
  <c r="L255" i="56"/>
  <c r="L254" i="56"/>
  <c r="L253" i="56"/>
  <c r="N253" i="56" s="1"/>
  <c r="K253" i="56"/>
  <c r="H253" i="56"/>
  <c r="L252" i="56"/>
  <c r="N252" i="56" s="1"/>
  <c r="K252" i="56"/>
  <c r="H252" i="56"/>
  <c r="P251" i="56"/>
  <c r="L251" i="56"/>
  <c r="N251" i="56" s="1"/>
  <c r="K251" i="56"/>
  <c r="H251" i="56"/>
  <c r="L250" i="56"/>
  <c r="L249" i="56"/>
  <c r="L248" i="56"/>
  <c r="L247" i="56"/>
  <c r="L246" i="56"/>
  <c r="N246" i="56" s="1"/>
  <c r="K246" i="56"/>
  <c r="H246" i="56"/>
  <c r="L245" i="56"/>
  <c r="N245" i="56" s="1"/>
  <c r="K245" i="56"/>
  <c r="H245" i="56"/>
  <c r="L244" i="56"/>
  <c r="L243" i="56"/>
  <c r="P242" i="56"/>
  <c r="L242" i="56"/>
  <c r="N242" i="56" s="1"/>
  <c r="K242" i="56"/>
  <c r="H242" i="56"/>
  <c r="P241" i="56"/>
  <c r="L241" i="56"/>
  <c r="N241" i="56" s="1"/>
  <c r="K241" i="56"/>
  <c r="H241" i="56"/>
  <c r="H243" i="56" s="1"/>
  <c r="P240" i="56"/>
  <c r="L240" i="56"/>
  <c r="N240" i="56" s="1"/>
  <c r="K240" i="56"/>
  <c r="K243" i="56" s="1"/>
  <c r="L239" i="56"/>
  <c r="L238" i="56"/>
  <c r="L237" i="56"/>
  <c r="N237" i="56" s="1"/>
  <c r="K237" i="56"/>
  <c r="H237" i="56"/>
  <c r="L236" i="56"/>
  <c r="N236" i="56" s="1"/>
  <c r="K236" i="56"/>
  <c r="H236" i="56"/>
  <c r="L235" i="56"/>
  <c r="N235" i="56" s="1"/>
  <c r="K235" i="56"/>
  <c r="H235" i="56"/>
  <c r="L234" i="56"/>
  <c r="N234" i="56" s="1"/>
  <c r="K234" i="56"/>
  <c r="H234" i="56"/>
  <c r="L233" i="56"/>
  <c r="N233" i="56" s="1"/>
  <c r="K233" i="56"/>
  <c r="H233" i="56"/>
  <c r="L232" i="56"/>
  <c r="N232" i="56" s="1"/>
  <c r="K232" i="56"/>
  <c r="H232" i="56"/>
  <c r="L231" i="56"/>
  <c r="N231" i="56" s="1"/>
  <c r="K231" i="56"/>
  <c r="H231" i="56"/>
  <c r="L230" i="56"/>
  <c r="N230" i="56" s="1"/>
  <c r="K230" i="56"/>
  <c r="H230" i="56"/>
  <c r="L229" i="56"/>
  <c r="N229" i="56" s="1"/>
  <c r="K229" i="56"/>
  <c r="H229" i="56"/>
  <c r="L228" i="56"/>
  <c r="N228" i="56" s="1"/>
  <c r="K228" i="56"/>
  <c r="H228" i="56"/>
  <c r="L227" i="56"/>
  <c r="N227" i="56" s="1"/>
  <c r="K227" i="56"/>
  <c r="H227" i="56"/>
  <c r="L226" i="56"/>
  <c r="N226" i="56" s="1"/>
  <c r="K226" i="56"/>
  <c r="H226" i="56"/>
  <c r="L225" i="56"/>
  <c r="N225" i="56" s="1"/>
  <c r="K225" i="56"/>
  <c r="H225" i="56"/>
  <c r="L224" i="56"/>
  <c r="N224" i="56" s="1"/>
  <c r="K224" i="56"/>
  <c r="H224" i="56"/>
  <c r="L223" i="56"/>
  <c r="N223" i="56" s="1"/>
  <c r="K223" i="56"/>
  <c r="H223" i="56"/>
  <c r="L222" i="56"/>
  <c r="N222" i="56" s="1"/>
  <c r="K222" i="56"/>
  <c r="H222" i="56"/>
  <c r="L221" i="56"/>
  <c r="N221" i="56" s="1"/>
  <c r="K221" i="56"/>
  <c r="H221" i="56"/>
  <c r="L220" i="56"/>
  <c r="N220" i="56" s="1"/>
  <c r="K220" i="56"/>
  <c r="H220" i="56"/>
  <c r="L219" i="56"/>
  <c r="N219" i="56" s="1"/>
  <c r="K219" i="56"/>
  <c r="H219" i="56"/>
  <c r="L218" i="56"/>
  <c r="N218" i="56" s="1"/>
  <c r="K218" i="56"/>
  <c r="H218" i="56"/>
  <c r="L217" i="56"/>
  <c r="N217" i="56" s="1"/>
  <c r="K217" i="56"/>
  <c r="H217" i="56"/>
  <c r="L216" i="56"/>
  <c r="N216" i="56" s="1"/>
  <c r="K216" i="56"/>
  <c r="H216" i="56"/>
  <c r="L215" i="56"/>
  <c r="N215" i="56" s="1"/>
  <c r="K215" i="56"/>
  <c r="H215" i="56"/>
  <c r="L214" i="56"/>
  <c r="N214" i="56" s="1"/>
  <c r="K214" i="56"/>
  <c r="H214" i="56"/>
  <c r="L213" i="56"/>
  <c r="N213" i="56" s="1"/>
  <c r="K213" i="56"/>
  <c r="H213" i="56"/>
  <c r="L212" i="56"/>
  <c r="N212" i="56" s="1"/>
  <c r="K212" i="56"/>
  <c r="H212" i="56"/>
  <c r="L211" i="56"/>
  <c r="N211" i="56" s="1"/>
  <c r="K211" i="56"/>
  <c r="H211" i="56"/>
  <c r="L210" i="56"/>
  <c r="N210" i="56" s="1"/>
  <c r="K210" i="56"/>
  <c r="H210" i="56"/>
  <c r="L209" i="56"/>
  <c r="N209" i="56" s="1"/>
  <c r="K209" i="56"/>
  <c r="H209" i="56"/>
  <c r="L208" i="56"/>
  <c r="N208" i="56" s="1"/>
  <c r="K208" i="56"/>
  <c r="H208" i="56"/>
  <c r="L207" i="56"/>
  <c r="N207" i="56" s="1"/>
  <c r="K207" i="56"/>
  <c r="H207" i="56"/>
  <c r="L206" i="56"/>
  <c r="N206" i="56" s="1"/>
  <c r="K206" i="56"/>
  <c r="H206" i="56"/>
  <c r="L205" i="56"/>
  <c r="N205" i="56" s="1"/>
  <c r="K205" i="56"/>
  <c r="H205" i="56"/>
  <c r="L204" i="56"/>
  <c r="N204" i="56" s="1"/>
  <c r="K204" i="56"/>
  <c r="H204" i="56"/>
  <c r="L203" i="56"/>
  <c r="N203" i="56" s="1"/>
  <c r="K203" i="56"/>
  <c r="H203" i="56"/>
  <c r="L202" i="56"/>
  <c r="N202" i="56" s="1"/>
  <c r="K202" i="56"/>
  <c r="H202" i="56"/>
  <c r="L201" i="56"/>
  <c r="N201" i="56" s="1"/>
  <c r="K201" i="56"/>
  <c r="H201" i="56"/>
  <c r="L200" i="56"/>
  <c r="N200" i="56" s="1"/>
  <c r="K200" i="56"/>
  <c r="H200" i="56"/>
  <c r="L199" i="56"/>
  <c r="N199" i="56" s="1"/>
  <c r="K199" i="56"/>
  <c r="H199" i="56"/>
  <c r="L198" i="56"/>
  <c r="N198" i="56" s="1"/>
  <c r="K198" i="56"/>
  <c r="H198" i="56"/>
  <c r="L197" i="56"/>
  <c r="N197" i="56" s="1"/>
  <c r="K197" i="56"/>
  <c r="H197" i="56"/>
  <c r="L196" i="56"/>
  <c r="N196" i="56" s="1"/>
  <c r="K196" i="56"/>
  <c r="H196" i="56"/>
  <c r="L195" i="56"/>
  <c r="N195" i="56" s="1"/>
  <c r="K195" i="56"/>
  <c r="H195" i="56"/>
  <c r="L194" i="56"/>
  <c r="N194" i="56" s="1"/>
  <c r="K194" i="56"/>
  <c r="H194" i="56"/>
  <c r="L193" i="56"/>
  <c r="N193" i="56" s="1"/>
  <c r="K193" i="56"/>
  <c r="H193" i="56"/>
  <c r="L192" i="56"/>
  <c r="N192" i="56" s="1"/>
  <c r="K192" i="56"/>
  <c r="H192" i="56"/>
  <c r="L191" i="56"/>
  <c r="N191" i="56" s="1"/>
  <c r="K191" i="56"/>
  <c r="H191" i="56"/>
  <c r="L190" i="56"/>
  <c r="N190" i="56" s="1"/>
  <c r="K190" i="56"/>
  <c r="H190" i="56"/>
  <c r="L189" i="56"/>
  <c r="N189" i="56" s="1"/>
  <c r="K189" i="56"/>
  <c r="H189" i="56"/>
  <c r="L188" i="56"/>
  <c r="N188" i="56" s="1"/>
  <c r="K188" i="56"/>
  <c r="H188" i="56"/>
  <c r="L187" i="56"/>
  <c r="N187" i="56" s="1"/>
  <c r="K187" i="56"/>
  <c r="H187" i="56"/>
  <c r="L186" i="56"/>
  <c r="L185" i="56"/>
  <c r="P184" i="56"/>
  <c r="L184" i="56"/>
  <c r="N184" i="56" s="1"/>
  <c r="K184" i="56"/>
  <c r="L183" i="56"/>
  <c r="N183" i="56" s="1"/>
  <c r="K183" i="56"/>
  <c r="H183" i="56"/>
  <c r="H185" i="56" s="1"/>
  <c r="P182" i="56"/>
  <c r="L182" i="56"/>
  <c r="N182" i="56" s="1"/>
  <c r="K182" i="56"/>
  <c r="L181" i="56"/>
  <c r="L180" i="56"/>
  <c r="P179" i="56"/>
  <c r="L179" i="56"/>
  <c r="N179" i="56" s="1"/>
  <c r="K179" i="56"/>
  <c r="H179" i="56"/>
  <c r="P178" i="56"/>
  <c r="L178" i="56"/>
  <c r="N178" i="56" s="1"/>
  <c r="K178" i="56"/>
  <c r="K180" i="56" s="1"/>
  <c r="H178" i="56"/>
  <c r="L177" i="56"/>
  <c r="L176" i="56"/>
  <c r="L175" i="56"/>
  <c r="N175" i="56" s="1"/>
  <c r="K175" i="56"/>
  <c r="H175" i="56"/>
  <c r="L174" i="56"/>
  <c r="N174" i="56" s="1"/>
  <c r="K174" i="56"/>
  <c r="H174" i="56"/>
  <c r="Q173" i="56"/>
  <c r="P173" i="56"/>
  <c r="L173" i="56"/>
  <c r="N173" i="56" s="1"/>
  <c r="K173" i="56"/>
  <c r="H173" i="56"/>
  <c r="P172" i="56"/>
  <c r="L172" i="56"/>
  <c r="N172" i="56" s="1"/>
  <c r="K172" i="56"/>
  <c r="H172" i="56"/>
  <c r="P171" i="56"/>
  <c r="L171" i="56"/>
  <c r="N171" i="56" s="1"/>
  <c r="K171" i="56"/>
  <c r="Q170" i="56"/>
  <c r="P170" i="56"/>
  <c r="L170" i="56"/>
  <c r="N170" i="56" s="1"/>
  <c r="K170" i="56"/>
  <c r="H170" i="56"/>
  <c r="P169" i="56"/>
  <c r="L169" i="56"/>
  <c r="N169" i="56" s="1"/>
  <c r="K169" i="56"/>
  <c r="H169" i="56"/>
  <c r="Q168" i="56"/>
  <c r="P168" i="56"/>
  <c r="L168" i="56"/>
  <c r="N168" i="56" s="1"/>
  <c r="K168" i="56"/>
  <c r="L167" i="56"/>
  <c r="L166" i="56"/>
  <c r="L165" i="56"/>
  <c r="L164" i="56"/>
  <c r="H164" i="56"/>
  <c r="P163" i="56"/>
  <c r="L163" i="56"/>
  <c r="N163" i="56" s="1"/>
  <c r="N164" i="56" s="1"/>
  <c r="K163" i="56"/>
  <c r="K164" i="56" s="1"/>
  <c r="L162" i="56"/>
  <c r="L161" i="56"/>
  <c r="L160" i="56"/>
  <c r="N160" i="56" s="1"/>
  <c r="N161" i="56" s="1"/>
  <c r="K160" i="56"/>
  <c r="K161" i="56" s="1"/>
  <c r="H160" i="56"/>
  <c r="H161" i="56" s="1"/>
  <c r="L159" i="56"/>
  <c r="L158" i="56"/>
  <c r="Q157" i="56"/>
  <c r="L157" i="56"/>
  <c r="N157" i="56" s="1"/>
  <c r="K157" i="56"/>
  <c r="H157" i="56"/>
  <c r="Q156" i="56"/>
  <c r="L156" i="56"/>
  <c r="N156" i="56" s="1"/>
  <c r="K156" i="56"/>
  <c r="H156" i="56"/>
  <c r="L155" i="56"/>
  <c r="N155" i="56" s="1"/>
  <c r="K155" i="56"/>
  <c r="L154" i="56"/>
  <c r="N154" i="56" s="1"/>
  <c r="K154" i="56"/>
  <c r="H154" i="56"/>
  <c r="L153" i="56"/>
  <c r="L152" i="56"/>
  <c r="L151" i="56"/>
  <c r="N151" i="56" s="1"/>
  <c r="K151" i="56"/>
  <c r="H151" i="56"/>
  <c r="L150" i="56"/>
  <c r="N150" i="56" s="1"/>
  <c r="K150" i="56"/>
  <c r="H150" i="56"/>
  <c r="L149" i="56"/>
  <c r="N149" i="56" s="1"/>
  <c r="K149" i="56"/>
  <c r="L148" i="56"/>
  <c r="L147" i="56"/>
  <c r="L146" i="56"/>
  <c r="N146" i="56" s="1"/>
  <c r="N147" i="56" s="1"/>
  <c r="K146" i="56"/>
  <c r="K147" i="56" s="1"/>
  <c r="H146" i="56"/>
  <c r="H147" i="56" s="1"/>
  <c r="L145" i="56"/>
  <c r="L144" i="56"/>
  <c r="P143" i="56"/>
  <c r="L143" i="56"/>
  <c r="N143" i="56" s="1"/>
  <c r="K143" i="56"/>
  <c r="H143" i="56"/>
  <c r="P142" i="56"/>
  <c r="L142" i="56"/>
  <c r="N142" i="56" s="1"/>
  <c r="K142" i="56"/>
  <c r="L141" i="56"/>
  <c r="N141" i="56" s="1"/>
  <c r="K141" i="56"/>
  <c r="H141" i="56"/>
  <c r="L140" i="56"/>
  <c r="L139" i="56"/>
  <c r="L138" i="56"/>
  <c r="L137" i="56"/>
  <c r="L136" i="56"/>
  <c r="N136" i="56" s="1"/>
  <c r="K136" i="56"/>
  <c r="H136" i="56"/>
  <c r="L135" i="56"/>
  <c r="N135" i="56" s="1"/>
  <c r="K135" i="56"/>
  <c r="H135" i="56"/>
  <c r="L134" i="56"/>
  <c r="N134" i="56" s="1"/>
  <c r="K134" i="56"/>
  <c r="H134" i="56"/>
  <c r="L133" i="56"/>
  <c r="L132" i="56"/>
  <c r="L131" i="56"/>
  <c r="N131" i="56" s="1"/>
  <c r="K131" i="56"/>
  <c r="H131" i="56"/>
  <c r="L130" i="56"/>
  <c r="N130" i="56" s="1"/>
  <c r="K130" i="56"/>
  <c r="H130" i="56"/>
  <c r="L129" i="56"/>
  <c r="N129" i="56" s="1"/>
  <c r="K129" i="56"/>
  <c r="H129" i="56"/>
  <c r="L128" i="56"/>
  <c r="L127" i="56"/>
  <c r="L126" i="56"/>
  <c r="N126" i="56" s="1"/>
  <c r="K126" i="56"/>
  <c r="H126" i="56"/>
  <c r="H127" i="56" s="1"/>
  <c r="L125" i="56"/>
  <c r="N125" i="56" s="1"/>
  <c r="K125" i="56"/>
  <c r="L124" i="56"/>
  <c r="L123" i="56"/>
  <c r="Q122" i="56"/>
  <c r="P122" i="56"/>
  <c r="L122" i="56"/>
  <c r="N122" i="56" s="1"/>
  <c r="K122" i="56"/>
  <c r="H122" i="56"/>
  <c r="Q121" i="56"/>
  <c r="L121" i="56"/>
  <c r="N121" i="56" s="1"/>
  <c r="K121" i="56"/>
  <c r="K123" i="56" s="1"/>
  <c r="H121" i="56"/>
  <c r="H123" i="56" s="1"/>
  <c r="L120" i="56"/>
  <c r="L119" i="56"/>
  <c r="Q118" i="56"/>
  <c r="L118" i="56"/>
  <c r="N118" i="56" s="1"/>
  <c r="K118" i="56"/>
  <c r="H118" i="56"/>
  <c r="L117" i="56"/>
  <c r="N117" i="56" s="1"/>
  <c r="K117" i="56"/>
  <c r="H117" i="56"/>
  <c r="L116" i="56"/>
  <c r="N116" i="56" s="1"/>
  <c r="K116" i="56"/>
  <c r="H116" i="56"/>
  <c r="L115" i="56"/>
  <c r="L114" i="56"/>
  <c r="L113" i="56"/>
  <c r="L112" i="56"/>
  <c r="L111" i="56"/>
  <c r="N111" i="56" s="1"/>
  <c r="K111" i="56"/>
  <c r="H111" i="56"/>
  <c r="L110" i="56"/>
  <c r="N110" i="56" s="1"/>
  <c r="K110" i="56"/>
  <c r="H110" i="56"/>
  <c r="L109" i="56"/>
  <c r="L108" i="56"/>
  <c r="L107" i="56"/>
  <c r="N107" i="56" s="1"/>
  <c r="K107" i="56"/>
  <c r="H107" i="56"/>
  <c r="L106" i="56"/>
  <c r="N106" i="56" s="1"/>
  <c r="K106" i="56"/>
  <c r="H106" i="56"/>
  <c r="L105" i="56"/>
  <c r="L104" i="56"/>
  <c r="P103" i="56"/>
  <c r="L103" i="56"/>
  <c r="N103" i="56" s="1"/>
  <c r="K103" i="56"/>
  <c r="H103" i="56"/>
  <c r="P102" i="56"/>
  <c r="L102" i="56"/>
  <c r="N102" i="56" s="1"/>
  <c r="K102" i="56"/>
  <c r="H102" i="56"/>
  <c r="L101" i="56"/>
  <c r="N101" i="56" s="1"/>
  <c r="K101" i="56"/>
  <c r="H101" i="56"/>
  <c r="P100" i="56"/>
  <c r="L100" i="56"/>
  <c r="N100" i="56" s="1"/>
  <c r="K100" i="56"/>
  <c r="H100" i="56"/>
  <c r="P99" i="56"/>
  <c r="L99" i="56"/>
  <c r="N99" i="56" s="1"/>
  <c r="K99" i="56"/>
  <c r="H99" i="56"/>
  <c r="L98" i="56"/>
  <c r="L97" i="56"/>
  <c r="L96" i="56"/>
  <c r="L95" i="56"/>
  <c r="L94" i="56"/>
  <c r="N94" i="56" s="1"/>
  <c r="K94" i="56"/>
  <c r="H94" i="56"/>
  <c r="L93" i="56"/>
  <c r="N93" i="56" s="1"/>
  <c r="K93" i="56"/>
  <c r="H93" i="56"/>
  <c r="L92" i="56"/>
  <c r="N92" i="56" s="1"/>
  <c r="K92" i="56"/>
  <c r="H92" i="56"/>
  <c r="L91" i="56"/>
  <c r="N91" i="56" s="1"/>
  <c r="K91" i="56"/>
  <c r="H91" i="56"/>
  <c r="L90" i="56"/>
  <c r="N90" i="56" s="1"/>
  <c r="K90" i="56"/>
  <c r="H90" i="56"/>
  <c r="L89" i="56"/>
  <c r="N89" i="56" s="1"/>
  <c r="K89" i="56"/>
  <c r="H89" i="56"/>
  <c r="L88" i="56"/>
  <c r="N88" i="56" s="1"/>
  <c r="K88" i="56"/>
  <c r="H88" i="56"/>
  <c r="L87" i="56"/>
  <c r="N87" i="56" s="1"/>
  <c r="K87" i="56"/>
  <c r="H87" i="56"/>
  <c r="L86" i="56"/>
  <c r="N86" i="56" s="1"/>
  <c r="K86" i="56"/>
  <c r="H86" i="56"/>
  <c r="L85" i="56"/>
  <c r="N85" i="56" s="1"/>
  <c r="K85" i="56"/>
  <c r="H85" i="56"/>
  <c r="L84" i="56"/>
  <c r="N84" i="56" s="1"/>
  <c r="K84" i="56"/>
  <c r="H84" i="56"/>
  <c r="L83" i="56"/>
  <c r="N83" i="56" s="1"/>
  <c r="K83" i="56"/>
  <c r="H83" i="56"/>
  <c r="L82" i="56"/>
  <c r="N82" i="56" s="1"/>
  <c r="K82" i="56"/>
  <c r="H82" i="56"/>
  <c r="L81" i="56"/>
  <c r="N81" i="56" s="1"/>
  <c r="K81" i="56"/>
  <c r="H81" i="56"/>
  <c r="L80" i="56"/>
  <c r="L79" i="56"/>
  <c r="L78" i="56"/>
  <c r="N78" i="56" s="1"/>
  <c r="K78" i="56"/>
  <c r="H78" i="56"/>
  <c r="L77" i="56"/>
  <c r="N77" i="56" s="1"/>
  <c r="K77" i="56"/>
  <c r="H77" i="56"/>
  <c r="L76" i="56"/>
  <c r="N76" i="56" s="1"/>
  <c r="K76" i="56"/>
  <c r="H76" i="56"/>
  <c r="L75" i="56"/>
  <c r="N75" i="56" s="1"/>
  <c r="K75" i="56"/>
  <c r="H75" i="56"/>
  <c r="L74" i="56"/>
  <c r="L73" i="56"/>
  <c r="Q72" i="56"/>
  <c r="L72" i="56"/>
  <c r="N72" i="56" s="1"/>
  <c r="K72" i="56"/>
  <c r="H72" i="56"/>
  <c r="Q71" i="56"/>
  <c r="L71" i="56"/>
  <c r="N71" i="56" s="1"/>
  <c r="K71" i="56"/>
  <c r="H71" i="56"/>
  <c r="R70" i="56"/>
  <c r="Q70" i="56"/>
  <c r="P70" i="56"/>
  <c r="L70" i="56"/>
  <c r="N70" i="56" s="1"/>
  <c r="K70" i="56"/>
  <c r="H70" i="56"/>
  <c r="Q69" i="56"/>
  <c r="P69" i="56"/>
  <c r="L69" i="56"/>
  <c r="N69" i="56" s="1"/>
  <c r="K69" i="56"/>
  <c r="H69" i="56"/>
  <c r="Q68" i="56"/>
  <c r="L68" i="56"/>
  <c r="N68" i="56" s="1"/>
  <c r="K68" i="56"/>
  <c r="H68" i="56"/>
  <c r="Q67" i="56"/>
  <c r="L67" i="56"/>
  <c r="N67" i="56" s="1"/>
  <c r="K67" i="56"/>
  <c r="H67" i="56"/>
  <c r="Q66" i="56"/>
  <c r="L66" i="56"/>
  <c r="N66" i="56" s="1"/>
  <c r="K66" i="56"/>
  <c r="H66" i="56"/>
  <c r="Q65" i="56"/>
  <c r="L65" i="56"/>
  <c r="N65" i="56" s="1"/>
  <c r="K65" i="56"/>
  <c r="H65" i="56"/>
  <c r="L64" i="56"/>
  <c r="L63" i="56"/>
  <c r="Q62" i="56"/>
  <c r="P62" i="56"/>
  <c r="L62" i="56"/>
  <c r="N62" i="56" s="1"/>
  <c r="K62" i="56"/>
  <c r="H62" i="56"/>
  <c r="Q61" i="56"/>
  <c r="L61" i="56"/>
  <c r="N61" i="56" s="1"/>
  <c r="K61" i="56"/>
  <c r="H61" i="56"/>
  <c r="Q60" i="56"/>
  <c r="L60" i="56"/>
  <c r="N60" i="56" s="1"/>
  <c r="K60" i="56"/>
  <c r="H60" i="56"/>
  <c r="H63" i="56" s="1"/>
  <c r="Q59" i="56"/>
  <c r="L59" i="56"/>
  <c r="N59" i="56" s="1"/>
  <c r="K59" i="56"/>
  <c r="Q58" i="56"/>
  <c r="P58" i="56"/>
  <c r="L58" i="56"/>
  <c r="N58" i="56" s="1"/>
  <c r="K58" i="56"/>
  <c r="Q57" i="56"/>
  <c r="L57" i="56"/>
  <c r="N57" i="56" s="1"/>
  <c r="K57" i="56"/>
  <c r="Q56" i="56"/>
  <c r="L56" i="56"/>
  <c r="N56" i="56" s="1"/>
  <c r="K56" i="56"/>
  <c r="L55" i="56"/>
  <c r="L54" i="56"/>
  <c r="Q53" i="56"/>
  <c r="P53" i="56"/>
  <c r="L53" i="56"/>
  <c r="N53" i="56" s="1"/>
  <c r="K53" i="56"/>
  <c r="H53" i="56"/>
  <c r="Q52" i="56"/>
  <c r="P52" i="56"/>
  <c r="L52" i="56"/>
  <c r="N52" i="56" s="1"/>
  <c r="K52" i="56"/>
  <c r="Q51" i="56"/>
  <c r="P51" i="56"/>
  <c r="L51" i="56"/>
  <c r="N51" i="56" s="1"/>
  <c r="K51" i="56"/>
  <c r="Q50" i="56"/>
  <c r="P50" i="56"/>
  <c r="L50" i="56"/>
  <c r="N50" i="56" s="1"/>
  <c r="K50" i="56"/>
  <c r="H50" i="56"/>
  <c r="Q49" i="56"/>
  <c r="P49" i="56"/>
  <c r="L49" i="56"/>
  <c r="N49" i="56" s="1"/>
  <c r="K49" i="56"/>
  <c r="Q48" i="56"/>
  <c r="P48" i="56"/>
  <c r="L48" i="56"/>
  <c r="N48" i="56" s="1"/>
  <c r="K48" i="56"/>
  <c r="L47" i="56"/>
  <c r="L46" i="56"/>
  <c r="L45" i="56"/>
  <c r="L44" i="56"/>
  <c r="Q43" i="56"/>
  <c r="L43" i="56"/>
  <c r="N43" i="56" s="1"/>
  <c r="K43" i="56"/>
  <c r="H43" i="56"/>
  <c r="Q42" i="56"/>
  <c r="L42" i="56"/>
  <c r="N42" i="56" s="1"/>
  <c r="K42" i="56"/>
  <c r="H42" i="56"/>
  <c r="Q41" i="56"/>
  <c r="L41" i="56"/>
  <c r="N41" i="56" s="1"/>
  <c r="K41" i="56"/>
  <c r="H41" i="56"/>
  <c r="Q40" i="56"/>
  <c r="L40" i="56"/>
  <c r="N40" i="56" s="1"/>
  <c r="K40" i="56"/>
  <c r="H40" i="56"/>
  <c r="Q39" i="56"/>
  <c r="P39" i="56"/>
  <c r="L39" i="56"/>
  <c r="N39" i="56" s="1"/>
  <c r="K39" i="56"/>
  <c r="Q38" i="56"/>
  <c r="L38" i="56"/>
  <c r="N38" i="56" s="1"/>
  <c r="K38" i="56"/>
  <c r="H38" i="56"/>
  <c r="Q37" i="56"/>
  <c r="L37" i="56"/>
  <c r="N37" i="56" s="1"/>
  <c r="K37" i="56"/>
  <c r="Q36" i="56"/>
  <c r="L36" i="56"/>
  <c r="N36" i="56" s="1"/>
  <c r="K36" i="56"/>
  <c r="H36" i="56"/>
  <c r="Q35" i="56"/>
  <c r="L35" i="56"/>
  <c r="N35" i="56" s="1"/>
  <c r="K35" i="56"/>
  <c r="Q34" i="56"/>
  <c r="L34" i="56"/>
  <c r="N34" i="56" s="1"/>
  <c r="K34" i="56"/>
  <c r="H34" i="56"/>
  <c r="Q33" i="56"/>
  <c r="N33" i="56"/>
  <c r="K33" i="56"/>
  <c r="G12" i="56"/>
  <c r="N28" i="57" l="1"/>
  <c r="N29" i="57" s="1"/>
  <c r="H14" i="57" s="1"/>
  <c r="L11" i="57"/>
  <c r="G13" i="57"/>
  <c r="H15" i="57" s="1"/>
  <c r="N123" i="56"/>
  <c r="K104" i="56"/>
  <c r="K108" i="56"/>
  <c r="K112" i="56"/>
  <c r="K254" i="56"/>
  <c r="H54" i="56"/>
  <c r="H119" i="56"/>
  <c r="H238" i="56"/>
  <c r="K44" i="56"/>
  <c r="K45" i="56" s="1"/>
  <c r="H79" i="56"/>
  <c r="H104" i="56"/>
  <c r="K119" i="56"/>
  <c r="K185" i="56"/>
  <c r="K265" i="56"/>
  <c r="K54" i="56"/>
  <c r="H73" i="56"/>
  <c r="K127" i="56"/>
  <c r="K73" i="56"/>
  <c r="K79" i="56"/>
  <c r="H137" i="56"/>
  <c r="K144" i="56"/>
  <c r="N108" i="56"/>
  <c r="N180" i="56"/>
  <c r="N119" i="56"/>
  <c r="N79" i="56"/>
  <c r="N127" i="56"/>
  <c r="H176" i="56"/>
  <c r="N243" i="56"/>
  <c r="H95" i="56"/>
  <c r="H132" i="56"/>
  <c r="K152" i="56"/>
  <c r="K238" i="56"/>
  <c r="H44" i="56"/>
  <c r="H45" i="56" s="1"/>
  <c r="K63" i="56"/>
  <c r="K95" i="56"/>
  <c r="H108" i="56"/>
  <c r="H112" i="56"/>
  <c r="K132" i="56"/>
  <c r="H180" i="56"/>
  <c r="K247" i="56"/>
  <c r="H278" i="56"/>
  <c r="H259" i="56"/>
  <c r="K137" i="56"/>
  <c r="H144" i="56"/>
  <c r="H247" i="56"/>
  <c r="K259" i="56"/>
  <c r="H152" i="56"/>
  <c r="H254" i="56"/>
  <c r="H265" i="56"/>
  <c r="N254" i="56"/>
  <c r="N63" i="56"/>
  <c r="N144" i="56"/>
  <c r="N158" i="56"/>
  <c r="N137" i="56"/>
  <c r="N112" i="56"/>
  <c r="N152" i="56"/>
  <c r="N265" i="56"/>
  <c r="N278" i="56"/>
  <c r="N54" i="56"/>
  <c r="N73" i="56"/>
  <c r="N132" i="56"/>
  <c r="H158" i="56"/>
  <c r="N176" i="56"/>
  <c r="N259" i="56"/>
  <c r="K278" i="56"/>
  <c r="N44" i="56"/>
  <c r="N45" i="56" s="1"/>
  <c r="N104" i="56"/>
  <c r="K158" i="56"/>
  <c r="N95" i="56"/>
  <c r="N185" i="56"/>
  <c r="N247" i="56"/>
  <c r="N238" i="56"/>
  <c r="K312" i="56"/>
  <c r="K176" i="56"/>
  <c r="N312" i="56"/>
  <c r="A53" i="55"/>
  <c r="F47" i="55"/>
  <c r="B47" i="55"/>
  <c r="F46" i="55"/>
  <c r="B46" i="55"/>
  <c r="F45" i="55"/>
  <c r="B45" i="55"/>
  <c r="C27" i="55"/>
  <c r="C26" i="55" s="1"/>
  <c r="C25" i="55"/>
  <c r="C23" i="55"/>
  <c r="C22" i="55" s="1"/>
  <c r="C21" i="55"/>
  <c r="C20" i="55"/>
  <c r="C24" i="55" s="1"/>
  <c r="C18" i="55"/>
  <c r="C17" i="55"/>
  <c r="C16" i="55"/>
  <c r="C15" i="55"/>
  <c r="C14" i="55"/>
  <c r="C13" i="55"/>
  <c r="C12" i="55"/>
  <c r="C11" i="55"/>
  <c r="I6" i="55"/>
  <c r="E6" i="55"/>
  <c r="C6" i="55"/>
  <c r="A9" i="55" s="1"/>
  <c r="C10" i="55" s="1"/>
  <c r="A53" i="54"/>
  <c r="F47" i="54"/>
  <c r="B47" i="54"/>
  <c r="F46" i="54"/>
  <c r="B46" i="54"/>
  <c r="F45" i="54"/>
  <c r="B45" i="54"/>
  <c r="C27" i="54"/>
  <c r="C26" i="54" s="1"/>
  <c r="C25" i="54"/>
  <c r="C23" i="54"/>
  <c r="C22" i="54" s="1"/>
  <c r="C21" i="54"/>
  <c r="C20" i="54"/>
  <c r="C24" i="54" s="1"/>
  <c r="C18" i="54"/>
  <c r="C17" i="54" s="1"/>
  <c r="C16" i="54"/>
  <c r="C15" i="54"/>
  <c r="C14" i="54"/>
  <c r="C13" i="54"/>
  <c r="C12" i="54"/>
  <c r="C11" i="54"/>
  <c r="I6" i="54"/>
  <c r="E6" i="54"/>
  <c r="C6" i="54"/>
  <c r="A9" i="54" s="1"/>
  <c r="A53" i="53"/>
  <c r="F47" i="53"/>
  <c r="B47" i="53"/>
  <c r="F46" i="53"/>
  <c r="B46" i="53"/>
  <c r="F45" i="53"/>
  <c r="B45" i="53"/>
  <c r="C27" i="53"/>
  <c r="C26" i="53" s="1"/>
  <c r="C25" i="53"/>
  <c r="C23" i="53"/>
  <c r="C22" i="53"/>
  <c r="C21" i="53"/>
  <c r="C20" i="53"/>
  <c r="C19" i="53" s="1"/>
  <c r="C18" i="53"/>
  <c r="C17" i="53"/>
  <c r="C16" i="53"/>
  <c r="C15" i="53"/>
  <c r="C14" i="53"/>
  <c r="C13" i="53"/>
  <c r="C12" i="53"/>
  <c r="C11" i="53"/>
  <c r="I6" i="53"/>
  <c r="E6" i="53"/>
  <c r="C6" i="53"/>
  <c r="A9" i="53" s="1"/>
  <c r="F47" i="48"/>
  <c r="B47" i="48"/>
  <c r="F46" i="48"/>
  <c r="B46" i="48"/>
  <c r="F45" i="48"/>
  <c r="B45" i="48"/>
  <c r="C27" i="48"/>
  <c r="C26" i="48" s="1"/>
  <c r="C25" i="48"/>
  <c r="C23" i="48"/>
  <c r="C22" i="48" s="1"/>
  <c r="C21" i="48"/>
  <c r="C20" i="48"/>
  <c r="C24" i="48" s="1"/>
  <c r="C18" i="48"/>
  <c r="C17" i="48"/>
  <c r="C16" i="48"/>
  <c r="C15" i="48"/>
  <c r="C14" i="48"/>
  <c r="C13" i="48"/>
  <c r="C12" i="48"/>
  <c r="C11" i="48"/>
  <c r="I6" i="48"/>
  <c r="E6" i="48"/>
  <c r="C6" i="48"/>
  <c r="A9" i="48" s="1"/>
  <c r="C9" i="48" s="1"/>
  <c r="J22" i="24"/>
  <c r="J27" i="24"/>
  <c r="J40" i="24"/>
  <c r="J49" i="24"/>
  <c r="J56" i="24"/>
  <c r="J22" i="25"/>
  <c r="J27" i="25"/>
  <c r="J40" i="25"/>
  <c r="J49" i="25"/>
  <c r="J56" i="25"/>
  <c r="G22" i="25"/>
  <c r="G27" i="25"/>
  <c r="G40" i="25"/>
  <c r="G49" i="25"/>
  <c r="G56" i="25"/>
  <c r="G21" i="22"/>
  <c r="J22" i="22"/>
  <c r="J27" i="22"/>
  <c r="J40" i="22"/>
  <c r="J49" i="22"/>
  <c r="J56" i="22"/>
  <c r="J21" i="22"/>
  <c r="G22" i="22"/>
  <c r="G23" i="22"/>
  <c r="G24" i="22"/>
  <c r="G25" i="22"/>
  <c r="G26" i="22"/>
  <c r="G27" i="22"/>
  <c r="G28" i="22"/>
  <c r="G29" i="22"/>
  <c r="G30" i="22"/>
  <c r="G31" i="22"/>
  <c r="G32" i="22"/>
  <c r="G33" i="22"/>
  <c r="G34" i="22"/>
  <c r="G35" i="22"/>
  <c r="G36" i="22"/>
  <c r="G37" i="22"/>
  <c r="G38" i="22"/>
  <c r="G39" i="22"/>
  <c r="G40" i="22"/>
  <c r="G41" i="22"/>
  <c r="G42" i="22"/>
  <c r="G43" i="22"/>
  <c r="G44" i="22"/>
  <c r="G45" i="22"/>
  <c r="G46" i="22"/>
  <c r="G47" i="22"/>
  <c r="G48" i="22"/>
  <c r="G49" i="22"/>
  <c r="G50" i="22"/>
  <c r="G51" i="22"/>
  <c r="G52" i="22"/>
  <c r="G53" i="22"/>
  <c r="G54" i="22"/>
  <c r="G55" i="22"/>
  <c r="G56" i="22"/>
  <c r="G57" i="22"/>
  <c r="G58" i="22"/>
  <c r="G59" i="22"/>
  <c r="G60" i="22"/>
  <c r="G61" i="22"/>
  <c r="A39" i="55"/>
  <c r="A39" i="48"/>
  <c r="A39" i="53"/>
  <c r="A39" i="54"/>
  <c r="C19" i="48" l="1"/>
  <c r="C10" i="53"/>
  <c r="C10" i="54"/>
  <c r="C10" i="48"/>
  <c r="K113" i="56"/>
  <c r="K138" i="56"/>
  <c r="K165" i="56"/>
  <c r="H96" i="56"/>
  <c r="K248" i="56"/>
  <c r="H138" i="56"/>
  <c r="K96" i="56"/>
  <c r="H248" i="56"/>
  <c r="K266" i="56"/>
  <c r="H165" i="56"/>
  <c r="H113" i="56"/>
  <c r="N96" i="56"/>
  <c r="N138" i="56"/>
  <c r="N113" i="56"/>
  <c r="N165" i="56"/>
  <c r="H266" i="56"/>
  <c r="N266" i="56"/>
  <c r="N248" i="56"/>
  <c r="C9" i="55"/>
  <c r="C19" i="55"/>
  <c r="C9" i="54"/>
  <c r="C19" i="54"/>
  <c r="C9" i="53"/>
  <c r="C24" i="53"/>
  <c r="E9" i="47"/>
  <c r="E7" i="47"/>
  <c r="E6" i="47"/>
  <c r="S20" i="47"/>
  <c r="S16" i="47"/>
  <c r="F47" i="46"/>
  <c r="B47" i="46"/>
  <c r="F46" i="46"/>
  <c r="B46" i="46"/>
  <c r="F45" i="46"/>
  <c r="B45" i="46"/>
  <c r="C27" i="46"/>
  <c r="C26" i="46" s="1"/>
  <c r="C25" i="46"/>
  <c r="C23" i="46"/>
  <c r="C22" i="46"/>
  <c r="C21" i="46"/>
  <c r="C20" i="46"/>
  <c r="C24" i="46" s="1"/>
  <c r="C18" i="46"/>
  <c r="C17" i="46" s="1"/>
  <c r="C16" i="46"/>
  <c r="C15" i="46"/>
  <c r="C14" i="46"/>
  <c r="C13" i="46"/>
  <c r="C11" i="46"/>
  <c r="I6" i="46"/>
  <c r="E6" i="46"/>
  <c r="C6" i="46"/>
  <c r="A9" i="46" s="1"/>
  <c r="C22" i="45"/>
  <c r="C21" i="45"/>
  <c r="C20" i="45"/>
  <c r="C19" i="45"/>
  <c r="C18" i="45"/>
  <c r="C17" i="45"/>
  <c r="C16" i="45"/>
  <c r="C15" i="45"/>
  <c r="C14" i="45"/>
  <c r="C13" i="45"/>
  <c r="C12" i="45"/>
  <c r="C11" i="45"/>
  <c r="I6" i="45"/>
  <c r="E6" i="45"/>
  <c r="C6" i="45"/>
  <c r="A9" i="45" s="1"/>
  <c r="H22" i="24"/>
  <c r="G22" i="24" s="1"/>
  <c r="H27" i="24"/>
  <c r="G27" i="24" s="1"/>
  <c r="H40" i="24"/>
  <c r="G40" i="24" s="1"/>
  <c r="H49" i="24"/>
  <c r="G49" i="24" s="1"/>
  <c r="H56" i="24"/>
  <c r="G56" i="24" s="1"/>
  <c r="J6" i="35"/>
  <c r="K4" i="35"/>
  <c r="C162" i="1" s="1"/>
  <c r="K74" i="35"/>
  <c r="K75" i="35"/>
  <c r="K76" i="35"/>
  <c r="K77" i="35"/>
  <c r="K73" i="35"/>
  <c r="K22" i="35"/>
  <c r="K23" i="35"/>
  <c r="K24" i="35"/>
  <c r="K25" i="35"/>
  <c r="K27" i="35"/>
  <c r="K28" i="35"/>
  <c r="K29" i="35"/>
  <c r="K30" i="35"/>
  <c r="K31" i="35"/>
  <c r="K32" i="35"/>
  <c r="K33" i="35"/>
  <c r="K34" i="35"/>
  <c r="K35" i="35"/>
  <c r="K36" i="35"/>
  <c r="K37" i="35"/>
  <c r="K38" i="35"/>
  <c r="K40" i="35"/>
  <c r="K41" i="35"/>
  <c r="K42" i="35"/>
  <c r="K43" i="35"/>
  <c r="K44" i="35"/>
  <c r="K45" i="35"/>
  <c r="K46" i="35"/>
  <c r="K47" i="35"/>
  <c r="K48" i="35"/>
  <c r="K49" i="35"/>
  <c r="K50" i="35"/>
  <c r="K51" i="35"/>
  <c r="K52" i="35"/>
  <c r="K53" i="35"/>
  <c r="K54" i="35"/>
  <c r="K56" i="35"/>
  <c r="K57" i="35"/>
  <c r="K58" i="35"/>
  <c r="K59" i="35"/>
  <c r="K60" i="35"/>
  <c r="K20" i="35"/>
  <c r="K12" i="35"/>
  <c r="E132" i="35"/>
  <c r="B132" i="35"/>
  <c r="E131" i="35"/>
  <c r="B131" i="35"/>
  <c r="E138" i="35"/>
  <c r="E130" i="35"/>
  <c r="B130" i="35"/>
  <c r="L98" i="35"/>
  <c r="D82" i="35"/>
  <c r="M72" i="35"/>
  <c r="M73" i="35" s="1"/>
  <c r="M74" i="35" s="1"/>
  <c r="M75" i="35" s="1"/>
  <c r="M76" i="35" s="1"/>
  <c r="D67" i="35"/>
  <c r="D66" i="35"/>
  <c r="D65" i="35"/>
  <c r="M18" i="35"/>
  <c r="M19" i="35" s="1"/>
  <c r="M20" i="35" s="1"/>
  <c r="M21" i="35" s="1"/>
  <c r="M22" i="35" s="1"/>
  <c r="M23" i="35" s="1"/>
  <c r="M24" i="35" s="1"/>
  <c r="M25" i="35" s="1"/>
  <c r="M26" i="35" s="1"/>
  <c r="M27" i="35" s="1"/>
  <c r="F13" i="35"/>
  <c r="F12" i="35"/>
  <c r="F11" i="35"/>
  <c r="J10" i="35"/>
  <c r="B10" i="35"/>
  <c r="J9" i="35"/>
  <c r="F9" i="35"/>
  <c r="F98" i="35"/>
  <c r="J8" i="35"/>
  <c r="F8" i="35"/>
  <c r="F97" i="35" s="1"/>
  <c r="J7" i="35"/>
  <c r="F7" i="35"/>
  <c r="F10" i="35" s="1"/>
  <c r="F6" i="35"/>
  <c r="J5" i="35"/>
  <c r="F5" i="35"/>
  <c r="J4" i="35"/>
  <c r="F4" i="35"/>
  <c r="J3" i="35"/>
  <c r="F3" i="35"/>
  <c r="J2" i="35"/>
  <c r="F2" i="35"/>
  <c r="C2" i="35"/>
  <c r="C1" i="35"/>
  <c r="L98" i="34"/>
  <c r="K12" i="34"/>
  <c r="E131" i="34"/>
  <c r="B131" i="34"/>
  <c r="E130" i="34"/>
  <c r="B130" i="34"/>
  <c r="J129" i="34"/>
  <c r="E129" i="34"/>
  <c r="B129" i="34"/>
  <c r="D82" i="34"/>
  <c r="M72" i="34"/>
  <c r="D67" i="34"/>
  <c r="D66" i="34"/>
  <c r="D65" i="34"/>
  <c r="M18" i="34"/>
  <c r="F13" i="34"/>
  <c r="F12" i="34"/>
  <c r="F11" i="34"/>
  <c r="J10" i="34"/>
  <c r="B10" i="34"/>
  <c r="J9" i="34"/>
  <c r="F9" i="34"/>
  <c r="F98" i="34" s="1"/>
  <c r="J8" i="34"/>
  <c r="F8" i="34"/>
  <c r="F97" i="34" s="1"/>
  <c r="J7" i="34"/>
  <c r="F7" i="34"/>
  <c r="J6" i="34"/>
  <c r="F6" i="34"/>
  <c r="J5" i="34"/>
  <c r="F5" i="34"/>
  <c r="J4" i="34"/>
  <c r="F4" i="34"/>
  <c r="J3" i="34"/>
  <c r="F3" i="34"/>
  <c r="J2" i="34"/>
  <c r="F2" i="34"/>
  <c r="C2" i="34"/>
  <c r="C1" i="34"/>
  <c r="F96" i="34"/>
  <c r="F110" i="34" s="1"/>
  <c r="M19" i="34"/>
  <c r="M20" i="34" s="1"/>
  <c r="M21" i="34" s="1"/>
  <c r="M73" i="34"/>
  <c r="K12" i="33"/>
  <c r="E130" i="33"/>
  <c r="B130" i="33"/>
  <c r="E129" i="33"/>
  <c r="B129" i="33"/>
  <c r="J128" i="33"/>
  <c r="E128" i="33"/>
  <c r="B128" i="33"/>
  <c r="D82" i="33"/>
  <c r="M72" i="33"/>
  <c r="D67" i="33"/>
  <c r="D66" i="33"/>
  <c r="D65" i="33"/>
  <c r="M18" i="33"/>
  <c r="M19" i="33" s="1"/>
  <c r="M20" i="33" s="1"/>
  <c r="M21" i="33" s="1"/>
  <c r="F13" i="33"/>
  <c r="F12" i="33"/>
  <c r="F11" i="33"/>
  <c r="J10" i="33"/>
  <c r="B10" i="33"/>
  <c r="J9" i="33"/>
  <c r="F9" i="33"/>
  <c r="F98" i="33"/>
  <c r="J8" i="33"/>
  <c r="F8" i="33"/>
  <c r="F97" i="33"/>
  <c r="J7" i="33"/>
  <c r="F7" i="33"/>
  <c r="F96" i="33" s="1"/>
  <c r="J6" i="33"/>
  <c r="F6" i="33"/>
  <c r="J5" i="33"/>
  <c r="F5" i="33"/>
  <c r="J4" i="33"/>
  <c r="F4" i="33"/>
  <c r="J3" i="33"/>
  <c r="F3" i="33"/>
  <c r="J2" i="33"/>
  <c r="F2" i="33"/>
  <c r="C2" i="33"/>
  <c r="C1" i="33"/>
  <c r="K21" i="32"/>
  <c r="K26" i="32"/>
  <c r="K39" i="32"/>
  <c r="K48" i="32"/>
  <c r="K12" i="32"/>
  <c r="E129" i="32"/>
  <c r="B129" i="32"/>
  <c r="E128" i="32"/>
  <c r="B128" i="32"/>
  <c r="J127" i="32"/>
  <c r="E127" i="32"/>
  <c r="B127" i="32"/>
  <c r="D82" i="32"/>
  <c r="M72" i="32"/>
  <c r="M73" i="32" s="1"/>
  <c r="M74" i="32" s="1"/>
  <c r="D67" i="32"/>
  <c r="D66" i="32"/>
  <c r="D65" i="32"/>
  <c r="M18" i="32"/>
  <c r="M19" i="32" s="1"/>
  <c r="M20" i="32" s="1"/>
  <c r="F13" i="32"/>
  <c r="F12" i="32"/>
  <c r="F11" i="32"/>
  <c r="J10" i="32"/>
  <c r="B10" i="32"/>
  <c r="J9" i="32"/>
  <c r="F9" i="32"/>
  <c r="F98" i="32" s="1"/>
  <c r="J8" i="32"/>
  <c r="F8" i="32"/>
  <c r="F97" i="32" s="1"/>
  <c r="J7" i="32"/>
  <c r="F7" i="32"/>
  <c r="F96" i="32" s="1"/>
  <c r="J6" i="32"/>
  <c r="F6" i="32"/>
  <c r="J5" i="32"/>
  <c r="F5" i="32"/>
  <c r="J4" i="32"/>
  <c r="F4" i="32"/>
  <c r="J3" i="32"/>
  <c r="F3" i="32"/>
  <c r="J2" i="32"/>
  <c r="F2" i="32"/>
  <c r="C2" i="32"/>
  <c r="C1" i="32"/>
  <c r="K12" i="31"/>
  <c r="E128" i="31"/>
  <c r="B128" i="31"/>
  <c r="E127" i="31"/>
  <c r="B127" i="31"/>
  <c r="J126" i="31"/>
  <c r="E126" i="31"/>
  <c r="B126" i="31"/>
  <c r="D82" i="31"/>
  <c r="M73" i="31"/>
  <c r="M74" i="31" s="1"/>
  <c r="M75" i="31" s="1"/>
  <c r="M72" i="31"/>
  <c r="D67" i="31"/>
  <c r="D66" i="31"/>
  <c r="D65" i="31"/>
  <c r="M18" i="31"/>
  <c r="F13" i="31"/>
  <c r="F12" i="31"/>
  <c r="F11" i="31"/>
  <c r="J10" i="31"/>
  <c r="B10" i="31"/>
  <c r="J9" i="31"/>
  <c r="F9" i="31"/>
  <c r="F98" i="31" s="1"/>
  <c r="J8" i="31"/>
  <c r="F8" i="31"/>
  <c r="F97" i="31"/>
  <c r="J7" i="31"/>
  <c r="F7" i="31"/>
  <c r="F96" i="31" s="1"/>
  <c r="J6" i="31"/>
  <c r="F6" i="31"/>
  <c r="J5" i="31"/>
  <c r="F5" i="31"/>
  <c r="J4" i="31"/>
  <c r="F4" i="31"/>
  <c r="J3" i="31"/>
  <c r="F3" i="31"/>
  <c r="J2" i="31"/>
  <c r="F2" i="31"/>
  <c r="C2" i="31"/>
  <c r="C1" i="31"/>
  <c r="K12" i="30"/>
  <c r="E127" i="30"/>
  <c r="B127" i="30"/>
  <c r="E126" i="30"/>
  <c r="B126" i="30"/>
  <c r="J125" i="30"/>
  <c r="E125" i="30"/>
  <c r="B125" i="30"/>
  <c r="D82" i="30"/>
  <c r="M72" i="30"/>
  <c r="M73" i="30" s="1"/>
  <c r="D67" i="30"/>
  <c r="D66" i="30"/>
  <c r="D65" i="30"/>
  <c r="M19" i="30"/>
  <c r="M18" i="30"/>
  <c r="F13" i="30"/>
  <c r="F12" i="30"/>
  <c r="F11" i="30"/>
  <c r="J10" i="30"/>
  <c r="B10" i="30"/>
  <c r="J9" i="30"/>
  <c r="F9" i="30"/>
  <c r="F98" i="30" s="1"/>
  <c r="J8" i="30"/>
  <c r="F8" i="30"/>
  <c r="J7" i="30"/>
  <c r="F7" i="30"/>
  <c r="F96" i="30"/>
  <c r="J6" i="30"/>
  <c r="F6" i="30"/>
  <c r="J5" i="30"/>
  <c r="F5" i="30"/>
  <c r="J4" i="30"/>
  <c r="F4" i="30"/>
  <c r="J3" i="30"/>
  <c r="F3" i="30"/>
  <c r="J2" i="30"/>
  <c r="F2" i="30"/>
  <c r="C2" i="30"/>
  <c r="C1" i="30"/>
  <c r="K12" i="29"/>
  <c r="E126" i="29"/>
  <c r="B126" i="29"/>
  <c r="E125" i="29"/>
  <c r="B125" i="29"/>
  <c r="J124" i="29"/>
  <c r="E124" i="29"/>
  <c r="B124" i="29"/>
  <c r="D82" i="29"/>
  <c r="M72" i="29"/>
  <c r="D67" i="29"/>
  <c r="D66" i="29"/>
  <c r="D65" i="29"/>
  <c r="M18" i="29"/>
  <c r="F13" i="29"/>
  <c r="F12" i="29"/>
  <c r="F11" i="29"/>
  <c r="J10" i="29"/>
  <c r="B10" i="29"/>
  <c r="J9" i="29"/>
  <c r="F9" i="29"/>
  <c r="F98" i="29" s="1"/>
  <c r="J8" i="29"/>
  <c r="F8" i="29"/>
  <c r="F97" i="29"/>
  <c r="F105" i="29" s="1"/>
  <c r="J7" i="29"/>
  <c r="F7" i="29"/>
  <c r="J6" i="29"/>
  <c r="F6" i="29"/>
  <c r="J5" i="29"/>
  <c r="F5" i="29"/>
  <c r="J4" i="29"/>
  <c r="F4" i="29"/>
  <c r="J3" i="29"/>
  <c r="F3" i="29"/>
  <c r="J2" i="29"/>
  <c r="F2" i="29"/>
  <c r="C2" i="29"/>
  <c r="C1" i="29"/>
  <c r="K12" i="28"/>
  <c r="E125" i="28"/>
  <c r="B125" i="28"/>
  <c r="E124" i="28"/>
  <c r="B124" i="28"/>
  <c r="J123" i="28"/>
  <c r="E123" i="28"/>
  <c r="B123" i="28"/>
  <c r="D82" i="28"/>
  <c r="M72" i="28"/>
  <c r="D67" i="28"/>
  <c r="D66" i="28"/>
  <c r="D65" i="28"/>
  <c r="M20" i="28"/>
  <c r="M21" i="28" s="1"/>
  <c r="M22" i="28" s="1"/>
  <c r="M23" i="28" s="1"/>
  <c r="M19" i="28"/>
  <c r="M18" i="28"/>
  <c r="F13" i="28"/>
  <c r="F12" i="28"/>
  <c r="F11" i="28"/>
  <c r="J10" i="28"/>
  <c r="B10" i="28"/>
  <c r="J9" i="28"/>
  <c r="F9" i="28"/>
  <c r="F98" i="28" s="1"/>
  <c r="J8" i="28"/>
  <c r="F8" i="28"/>
  <c r="F97" i="28" s="1"/>
  <c r="J7" i="28"/>
  <c r="F7" i="28"/>
  <c r="F10" i="28" s="1"/>
  <c r="F96" i="28"/>
  <c r="F106" i="28" s="1"/>
  <c r="J6" i="28"/>
  <c r="F6" i="28"/>
  <c r="J5" i="28"/>
  <c r="F5" i="28"/>
  <c r="J4" i="28"/>
  <c r="F4" i="28"/>
  <c r="J3" i="28"/>
  <c r="F3" i="28"/>
  <c r="J2" i="28"/>
  <c r="F2" i="28"/>
  <c r="C2" i="28"/>
  <c r="C1" i="28"/>
  <c r="M74" i="34"/>
  <c r="M73" i="33"/>
  <c r="M74" i="33" s="1"/>
  <c r="M19" i="31"/>
  <c r="M20" i="31" s="1"/>
  <c r="M21" i="31" s="1"/>
  <c r="M22" i="31" s="1"/>
  <c r="M23" i="31" s="1"/>
  <c r="M24" i="31" s="1"/>
  <c r="M25" i="31" s="1"/>
  <c r="M26" i="31" s="1"/>
  <c r="F10" i="31"/>
  <c r="M20" i="30"/>
  <c r="M21" i="30" s="1"/>
  <c r="M22" i="30" s="1"/>
  <c r="M23" i="30" s="1"/>
  <c r="M24" i="30" s="1"/>
  <c r="M25" i="30" s="1"/>
  <c r="M26" i="30" s="1"/>
  <c r="M27" i="30" s="1"/>
  <c r="M28" i="30" s="1"/>
  <c r="M29" i="30" s="1"/>
  <c r="M30" i="30" s="1"/>
  <c r="M31" i="30" s="1"/>
  <c r="M32" i="30" s="1"/>
  <c r="M33" i="30" s="1"/>
  <c r="M34" i="30" s="1"/>
  <c r="M35" i="30" s="1"/>
  <c r="M36" i="30" s="1"/>
  <c r="M37" i="30" s="1"/>
  <c r="M38" i="30" s="1"/>
  <c r="M39" i="30" s="1"/>
  <c r="M40" i="30" s="1"/>
  <c r="M41" i="30" s="1"/>
  <c r="M42" i="30" s="1"/>
  <c r="M43" i="30" s="1"/>
  <c r="M44" i="30" s="1"/>
  <c r="M45" i="30" s="1"/>
  <c r="M46" i="30" s="1"/>
  <c r="M47" i="30" s="1"/>
  <c r="M48" i="30" s="1"/>
  <c r="M49" i="30" s="1"/>
  <c r="M50" i="30" s="1"/>
  <c r="M51" i="30" s="1"/>
  <c r="M52" i="30" s="1"/>
  <c r="M53" i="30" s="1"/>
  <c r="M54" i="30" s="1"/>
  <c r="M55" i="30" s="1"/>
  <c r="M56" i="30" s="1"/>
  <c r="M57" i="30" s="1"/>
  <c r="M58" i="30" s="1"/>
  <c r="M59" i="30" s="1"/>
  <c r="M60" i="30" s="1"/>
  <c r="F96" i="29"/>
  <c r="F107" i="29" s="1"/>
  <c r="F10" i="29"/>
  <c r="M19" i="29"/>
  <c r="M20" i="29" s="1"/>
  <c r="M21" i="29" s="1"/>
  <c r="M73" i="29"/>
  <c r="M73" i="28"/>
  <c r="M74" i="28" s="1"/>
  <c r="M75" i="28" s="1"/>
  <c r="M76" i="28" s="1"/>
  <c r="M77" i="28" s="1"/>
  <c r="M75" i="34"/>
  <c r="M76" i="34" s="1"/>
  <c r="M77" i="34" s="1"/>
  <c r="M21" i="32"/>
  <c r="M22" i="32" s="1"/>
  <c r="M23" i="32" s="1"/>
  <c r="M74" i="30"/>
  <c r="M75" i="30" s="1"/>
  <c r="M74" i="29"/>
  <c r="K74" i="28"/>
  <c r="K74" i="29" s="1"/>
  <c r="K74" i="30" s="1"/>
  <c r="K74" i="31" s="1"/>
  <c r="K74" i="32" s="1"/>
  <c r="K74" i="33" s="1"/>
  <c r="K74" i="34" s="1"/>
  <c r="K75" i="28"/>
  <c r="K75" i="29" s="1"/>
  <c r="K75" i="30" s="1"/>
  <c r="K75" i="31" s="1"/>
  <c r="K75" i="32" s="1"/>
  <c r="K75" i="33" s="1"/>
  <c r="K75" i="34" s="1"/>
  <c r="K76" i="28"/>
  <c r="K76" i="29"/>
  <c r="K76" i="30" s="1"/>
  <c r="K76" i="31" s="1"/>
  <c r="K76" i="32" s="1"/>
  <c r="K76" i="33"/>
  <c r="K76" i="34" s="1"/>
  <c r="K77" i="28"/>
  <c r="K77" i="29"/>
  <c r="K77" i="30" s="1"/>
  <c r="K77" i="31" s="1"/>
  <c r="K77" i="32" s="1"/>
  <c r="K77" i="33" s="1"/>
  <c r="K77" i="34" s="1"/>
  <c r="K73" i="28"/>
  <c r="K73" i="29" s="1"/>
  <c r="K73" i="30" s="1"/>
  <c r="K73" i="31" s="1"/>
  <c r="K73" i="32" s="1"/>
  <c r="K73" i="33" s="1"/>
  <c r="K73" i="34" s="1"/>
  <c r="K22" i="28"/>
  <c r="K22" i="29" s="1"/>
  <c r="K22" i="30" s="1"/>
  <c r="K22" i="31" s="1"/>
  <c r="K22" i="32" s="1"/>
  <c r="K22" i="33" s="1"/>
  <c r="K22" i="34" s="1"/>
  <c r="K23" i="28"/>
  <c r="K23" i="29"/>
  <c r="K23" i="30" s="1"/>
  <c r="K23" i="31" s="1"/>
  <c r="K23" i="32" s="1"/>
  <c r="K23" i="33"/>
  <c r="K23" i="34" s="1"/>
  <c r="K24" i="28"/>
  <c r="K24" i="29"/>
  <c r="K24" i="30" s="1"/>
  <c r="K24" i="31" s="1"/>
  <c r="K24" i="32" s="1"/>
  <c r="K24" i="33" s="1"/>
  <c r="K24" i="34" s="1"/>
  <c r="K25" i="28"/>
  <c r="K25" i="29" s="1"/>
  <c r="K25" i="30" s="1"/>
  <c r="K25" i="31" s="1"/>
  <c r="K25" i="32" s="1"/>
  <c r="K25" i="33" s="1"/>
  <c r="K25" i="34" s="1"/>
  <c r="K27" i="28"/>
  <c r="K27" i="29" s="1"/>
  <c r="K27" i="30" s="1"/>
  <c r="K27" i="31" s="1"/>
  <c r="K27" i="32" s="1"/>
  <c r="K27" i="33" s="1"/>
  <c r="K27" i="34" s="1"/>
  <c r="K28" i="28"/>
  <c r="K28" i="29"/>
  <c r="K28" i="30" s="1"/>
  <c r="K28" i="31" s="1"/>
  <c r="K28" i="32" s="1"/>
  <c r="K28" i="33"/>
  <c r="K28" i="34" s="1"/>
  <c r="K29" i="28"/>
  <c r="K29" i="29"/>
  <c r="K29" i="30" s="1"/>
  <c r="K29" i="31" s="1"/>
  <c r="K29" i="32" s="1"/>
  <c r="K29" i="33" s="1"/>
  <c r="K29" i="34" s="1"/>
  <c r="K30" i="28"/>
  <c r="K30" i="29" s="1"/>
  <c r="K30" i="30" s="1"/>
  <c r="K30" i="31" s="1"/>
  <c r="K30" i="32" s="1"/>
  <c r="K30" i="33" s="1"/>
  <c r="K30" i="34" s="1"/>
  <c r="K31" i="28"/>
  <c r="K31" i="29" s="1"/>
  <c r="K31" i="30" s="1"/>
  <c r="K31" i="31" s="1"/>
  <c r="K31" i="32" s="1"/>
  <c r="K31" i="33" s="1"/>
  <c r="K31" i="34" s="1"/>
  <c r="K32" i="28"/>
  <c r="K32" i="29"/>
  <c r="K32" i="30" s="1"/>
  <c r="K32" i="31" s="1"/>
  <c r="K32" i="32" s="1"/>
  <c r="K32" i="33"/>
  <c r="K32" i="34" s="1"/>
  <c r="K33" i="28"/>
  <c r="K33" i="29"/>
  <c r="K33" i="30" s="1"/>
  <c r="K33" i="31" s="1"/>
  <c r="K33" i="32" s="1"/>
  <c r="K33" i="33" s="1"/>
  <c r="K33" i="34" s="1"/>
  <c r="K34" i="28"/>
  <c r="K34" i="29" s="1"/>
  <c r="K34" i="30" s="1"/>
  <c r="K34" i="31" s="1"/>
  <c r="K34" i="32" s="1"/>
  <c r="K34" i="33" s="1"/>
  <c r="K34" i="34" s="1"/>
  <c r="K35" i="28"/>
  <c r="K35" i="29" s="1"/>
  <c r="K35" i="30" s="1"/>
  <c r="K35" i="31" s="1"/>
  <c r="K35" i="32" s="1"/>
  <c r="K35" i="33" s="1"/>
  <c r="K35" i="34" s="1"/>
  <c r="K36" i="28"/>
  <c r="K36" i="29"/>
  <c r="K36" i="30" s="1"/>
  <c r="K36" i="31" s="1"/>
  <c r="K36" i="32" s="1"/>
  <c r="K36" i="33"/>
  <c r="K36" i="34" s="1"/>
  <c r="K37" i="28"/>
  <c r="K37" i="29"/>
  <c r="K37" i="30" s="1"/>
  <c r="K37" i="31" s="1"/>
  <c r="K37" i="32" s="1"/>
  <c r="K37" i="33" s="1"/>
  <c r="K37" i="34" s="1"/>
  <c r="K38" i="28"/>
  <c r="K38" i="29" s="1"/>
  <c r="K38" i="30" s="1"/>
  <c r="K38" i="31" s="1"/>
  <c r="K38" i="32" s="1"/>
  <c r="K38" i="33" s="1"/>
  <c r="K38" i="34" s="1"/>
  <c r="K40" i="28"/>
  <c r="K40" i="29" s="1"/>
  <c r="K40" i="30" s="1"/>
  <c r="K40" i="31" s="1"/>
  <c r="K40" i="32" s="1"/>
  <c r="K40" i="33" s="1"/>
  <c r="K40" i="34" s="1"/>
  <c r="K41" i="28"/>
  <c r="K41" i="29"/>
  <c r="K41" i="30" s="1"/>
  <c r="K41" i="31" s="1"/>
  <c r="K41" i="32" s="1"/>
  <c r="K41" i="33"/>
  <c r="K41" i="34" s="1"/>
  <c r="K42" i="28"/>
  <c r="K42" i="29"/>
  <c r="K42" i="30" s="1"/>
  <c r="K42" i="31" s="1"/>
  <c r="K42" i="32" s="1"/>
  <c r="K42" i="33" s="1"/>
  <c r="K42" i="34" s="1"/>
  <c r="K43" i="28"/>
  <c r="K43" i="29" s="1"/>
  <c r="K43" i="30" s="1"/>
  <c r="K43" i="31" s="1"/>
  <c r="K43" i="32" s="1"/>
  <c r="K43" i="33" s="1"/>
  <c r="K43" i="34" s="1"/>
  <c r="K44" i="28"/>
  <c r="K44" i="29" s="1"/>
  <c r="K44" i="30" s="1"/>
  <c r="K44" i="31" s="1"/>
  <c r="K44" i="32" s="1"/>
  <c r="K44" i="33" s="1"/>
  <c r="K44" i="34" s="1"/>
  <c r="K45" i="28"/>
  <c r="K45" i="29"/>
  <c r="K45" i="30" s="1"/>
  <c r="K45" i="31" s="1"/>
  <c r="K45" i="32" s="1"/>
  <c r="K45" i="33"/>
  <c r="K45" i="34" s="1"/>
  <c r="K46" i="28"/>
  <c r="K46" i="29"/>
  <c r="K46" i="30" s="1"/>
  <c r="K46" i="31" s="1"/>
  <c r="K46" i="32" s="1"/>
  <c r="K46" i="33" s="1"/>
  <c r="K46" i="34" s="1"/>
  <c r="K47" i="28"/>
  <c r="K47" i="29" s="1"/>
  <c r="K47" i="30" s="1"/>
  <c r="K47" i="31" s="1"/>
  <c r="K47" i="32" s="1"/>
  <c r="K47" i="33" s="1"/>
  <c r="K47" i="34" s="1"/>
  <c r="K49" i="28"/>
  <c r="K49" i="29" s="1"/>
  <c r="K49" i="30" s="1"/>
  <c r="K49" i="31" s="1"/>
  <c r="K49" i="32" s="1"/>
  <c r="K49" i="33" s="1"/>
  <c r="K49" i="34" s="1"/>
  <c r="K50" i="28"/>
  <c r="K50" i="29"/>
  <c r="K50" i="30" s="1"/>
  <c r="K50" i="31" s="1"/>
  <c r="K50" i="32" s="1"/>
  <c r="K50" i="33"/>
  <c r="K50" i="34" s="1"/>
  <c r="K51" i="28"/>
  <c r="K51" i="29"/>
  <c r="K51" i="30" s="1"/>
  <c r="K51" i="31" s="1"/>
  <c r="K51" i="32" s="1"/>
  <c r="K51" i="33" s="1"/>
  <c r="K51" i="34" s="1"/>
  <c r="K52" i="28"/>
  <c r="K52" i="29" s="1"/>
  <c r="K52" i="30" s="1"/>
  <c r="K52" i="31" s="1"/>
  <c r="K52" i="32" s="1"/>
  <c r="K52" i="33" s="1"/>
  <c r="K52" i="34" s="1"/>
  <c r="K53" i="28"/>
  <c r="K53" i="29" s="1"/>
  <c r="K53" i="30" s="1"/>
  <c r="K53" i="31" s="1"/>
  <c r="K53" i="32" s="1"/>
  <c r="K53" i="33" s="1"/>
  <c r="K53" i="34" s="1"/>
  <c r="K54" i="28"/>
  <c r="K54" i="29"/>
  <c r="K54" i="30" s="1"/>
  <c r="K54" i="31" s="1"/>
  <c r="K54" i="32" s="1"/>
  <c r="K54" i="33"/>
  <c r="K54" i="34" s="1"/>
  <c r="K56" i="28"/>
  <c r="K56" i="29"/>
  <c r="K56" i="30" s="1"/>
  <c r="K56" i="31" s="1"/>
  <c r="K56" i="32" s="1"/>
  <c r="K56" i="33" s="1"/>
  <c r="K56" i="34" s="1"/>
  <c r="K57" i="28"/>
  <c r="K57" i="29" s="1"/>
  <c r="K57" i="30" s="1"/>
  <c r="K57" i="31" s="1"/>
  <c r="K57" i="32" s="1"/>
  <c r="K57" i="33" s="1"/>
  <c r="K57" i="34" s="1"/>
  <c r="K58" i="28"/>
  <c r="K58" i="29" s="1"/>
  <c r="K58" i="30" s="1"/>
  <c r="K58" i="31" s="1"/>
  <c r="K58" i="32" s="1"/>
  <c r="K58" i="33" s="1"/>
  <c r="K58" i="34" s="1"/>
  <c r="K59" i="28"/>
  <c r="K59" i="29"/>
  <c r="K59" i="30" s="1"/>
  <c r="K59" i="31" s="1"/>
  <c r="K59" i="32"/>
  <c r="K59" i="33" s="1"/>
  <c r="K59" i="34" s="1"/>
  <c r="K60" i="28"/>
  <c r="K60" i="29"/>
  <c r="K60" i="30" s="1"/>
  <c r="K60" i="31"/>
  <c r="K60" i="32" s="1"/>
  <c r="K60" i="33" s="1"/>
  <c r="K60" i="34" s="1"/>
  <c r="K20" i="28"/>
  <c r="K20" i="29" s="1"/>
  <c r="K20" i="30"/>
  <c r="K20" i="31" s="1"/>
  <c r="K20" i="32"/>
  <c r="K20" i="33" s="1"/>
  <c r="K20" i="34" s="1"/>
  <c r="M77" i="35"/>
  <c r="M22" i="34"/>
  <c r="M23" i="34" s="1"/>
  <c r="M75" i="33"/>
  <c r="M76" i="33" s="1"/>
  <c r="M22" i="33"/>
  <c r="M75" i="32"/>
  <c r="M76" i="31"/>
  <c r="M75" i="29"/>
  <c r="AS74" i="26"/>
  <c r="AS77" i="26"/>
  <c r="AS80" i="26"/>
  <c r="AS82" i="26"/>
  <c r="AS84" i="26"/>
  <c r="AS86" i="26"/>
  <c r="AS73" i="26"/>
  <c r="AI65" i="26"/>
  <c r="AI64" i="26"/>
  <c r="D64" i="26"/>
  <c r="AI63" i="26"/>
  <c r="AI62" i="26"/>
  <c r="AI61" i="26"/>
  <c r="AI60" i="26"/>
  <c r="AI59" i="26"/>
  <c r="AI58" i="26"/>
  <c r="X58" i="26"/>
  <c r="X57" i="26"/>
  <c r="M23" i="33"/>
  <c r="M24" i="33" s="1"/>
  <c r="M25" i="33" s="1"/>
  <c r="M26" i="33" s="1"/>
  <c r="M76" i="32"/>
  <c r="M77" i="32" s="1"/>
  <c r="M77" i="31"/>
  <c r="M76" i="30"/>
  <c r="M77" i="30" s="1"/>
  <c r="M22" i="29"/>
  <c r="M23" i="29" s="1"/>
  <c r="M24" i="29" s="1"/>
  <c r="M25" i="29" s="1"/>
  <c r="M26" i="29" s="1"/>
  <c r="M27" i="29" s="1"/>
  <c r="M28" i="29" s="1"/>
  <c r="M29" i="29" s="1"/>
  <c r="M30" i="29" s="1"/>
  <c r="M31" i="29" s="1"/>
  <c r="M32" i="29" s="1"/>
  <c r="M33" i="29" s="1"/>
  <c r="M34" i="29" s="1"/>
  <c r="M35" i="29" s="1"/>
  <c r="M36" i="29" s="1"/>
  <c r="M37" i="29" s="1"/>
  <c r="M38" i="29" s="1"/>
  <c r="M39" i="29" s="1"/>
  <c r="M40" i="29" s="1"/>
  <c r="M41" i="29" s="1"/>
  <c r="M42" i="29" s="1"/>
  <c r="M43" i="29" s="1"/>
  <c r="M44" i="29" s="1"/>
  <c r="M45" i="29" s="1"/>
  <c r="M46" i="29" s="1"/>
  <c r="M47" i="29" s="1"/>
  <c r="M48" i="29" s="1"/>
  <c r="M49" i="29" s="1"/>
  <c r="M50" i="29" s="1"/>
  <c r="M51" i="29" s="1"/>
  <c r="M52" i="29" s="1"/>
  <c r="M53" i="29" s="1"/>
  <c r="M54" i="29" s="1"/>
  <c r="M55" i="29" s="1"/>
  <c r="M56" i="29" s="1"/>
  <c r="M57" i="29" s="1"/>
  <c r="M58" i="29" s="1"/>
  <c r="M59" i="29" s="1"/>
  <c r="M60" i="29" s="1"/>
  <c r="M76" i="29"/>
  <c r="M24" i="28"/>
  <c r="M25" i="28" s="1"/>
  <c r="M26" i="28" s="1"/>
  <c r="M27" i="28" s="1"/>
  <c r="M28" i="28" s="1"/>
  <c r="M29" i="28" s="1"/>
  <c r="M30" i="28" s="1"/>
  <c r="M31" i="28" s="1"/>
  <c r="M32" i="28" s="1"/>
  <c r="M33" i="28" s="1"/>
  <c r="M34" i="28" s="1"/>
  <c r="M35" i="28" s="1"/>
  <c r="M36" i="28" s="1"/>
  <c r="M37" i="28" s="1"/>
  <c r="M38" i="28" s="1"/>
  <c r="M39" i="28" s="1"/>
  <c r="M40" i="28" s="1"/>
  <c r="M41" i="28" s="1"/>
  <c r="M42" i="28" s="1"/>
  <c r="M43" i="28" s="1"/>
  <c r="M44" i="28" s="1"/>
  <c r="M45" i="28" s="1"/>
  <c r="M46" i="28" s="1"/>
  <c r="M47" i="28" s="1"/>
  <c r="M48" i="28" s="1"/>
  <c r="M49" i="28" s="1"/>
  <c r="M50" i="28" s="1"/>
  <c r="M51" i="28" s="1"/>
  <c r="M52" i="28" s="1"/>
  <c r="M53" i="28" s="1"/>
  <c r="M54" i="28" s="1"/>
  <c r="M55" i="28" s="1"/>
  <c r="M56" i="28" s="1"/>
  <c r="M57" i="28" s="1"/>
  <c r="M58" i="28" s="1"/>
  <c r="M59" i="28" s="1"/>
  <c r="M60" i="28" s="1"/>
  <c r="X1" i="26"/>
  <c r="D8" i="26"/>
  <c r="AI9" i="26"/>
  <c r="AI8" i="26"/>
  <c r="AI7" i="26"/>
  <c r="AI10" i="26" s="1"/>
  <c r="AI5" i="26"/>
  <c r="AI4" i="26"/>
  <c r="AI3" i="26"/>
  <c r="AI2" i="26"/>
  <c r="X2" i="26"/>
  <c r="K22" i="6"/>
  <c r="K23" i="6"/>
  <c r="K24" i="6"/>
  <c r="K25" i="6"/>
  <c r="K27" i="6"/>
  <c r="K28" i="6"/>
  <c r="K29" i="6"/>
  <c r="K30" i="6"/>
  <c r="K31" i="6"/>
  <c r="K32" i="6"/>
  <c r="K33" i="6"/>
  <c r="K34" i="6"/>
  <c r="K35" i="6"/>
  <c r="K36" i="6"/>
  <c r="K37" i="6"/>
  <c r="K38" i="6"/>
  <c r="K40" i="6"/>
  <c r="K41" i="6"/>
  <c r="K42" i="6"/>
  <c r="K43" i="6"/>
  <c r="K44" i="6"/>
  <c r="K45" i="6"/>
  <c r="K46" i="6"/>
  <c r="K47" i="6"/>
  <c r="K49" i="6"/>
  <c r="K50" i="6"/>
  <c r="K51" i="6"/>
  <c r="K52" i="6"/>
  <c r="K53" i="6"/>
  <c r="K54" i="6"/>
  <c r="K56" i="6"/>
  <c r="K57" i="6"/>
  <c r="K58" i="6"/>
  <c r="K59" i="6"/>
  <c r="K60" i="6"/>
  <c r="M24" i="34"/>
  <c r="M25" i="34" s="1"/>
  <c r="M26" i="34" s="1"/>
  <c r="M27" i="34" s="1"/>
  <c r="M28" i="34" s="1"/>
  <c r="M29" i="34" s="1"/>
  <c r="M30" i="34" s="1"/>
  <c r="M31" i="34" s="1"/>
  <c r="M32" i="34" s="1"/>
  <c r="M33" i="34" s="1"/>
  <c r="M34" i="34" s="1"/>
  <c r="M35" i="34" s="1"/>
  <c r="M36" i="34" s="1"/>
  <c r="M37" i="34" s="1"/>
  <c r="M38" i="34" s="1"/>
  <c r="M39" i="34" s="1"/>
  <c r="M40" i="34" s="1"/>
  <c r="M41" i="34" s="1"/>
  <c r="M42" i="34" s="1"/>
  <c r="M43" i="34" s="1"/>
  <c r="M44" i="34" s="1"/>
  <c r="M45" i="34" s="1"/>
  <c r="M46" i="34" s="1"/>
  <c r="M47" i="34" s="1"/>
  <c r="M48" i="34" s="1"/>
  <c r="M49" i="34" s="1"/>
  <c r="M50" i="34" s="1"/>
  <c r="M51" i="34" s="1"/>
  <c r="M52" i="34" s="1"/>
  <c r="M53" i="34" s="1"/>
  <c r="M54" i="34" s="1"/>
  <c r="M55" i="34" s="1"/>
  <c r="M56" i="34" s="1"/>
  <c r="M57" i="34" s="1"/>
  <c r="M58" i="34" s="1"/>
  <c r="M59" i="34" s="1"/>
  <c r="M60" i="34" s="1"/>
  <c r="M77" i="33"/>
  <c r="M24" i="32"/>
  <c r="M25" i="32" s="1"/>
  <c r="M26" i="32" s="1"/>
  <c r="M27" i="32" s="1"/>
  <c r="M28" i="32" s="1"/>
  <c r="M29" i="32" s="1"/>
  <c r="M30" i="32" s="1"/>
  <c r="M31" i="32" s="1"/>
  <c r="M32" i="32" s="1"/>
  <c r="M33" i="32" s="1"/>
  <c r="M34" i="32" s="1"/>
  <c r="M35" i="32" s="1"/>
  <c r="M36" i="32" s="1"/>
  <c r="M37" i="32" s="1"/>
  <c r="M38" i="32" s="1"/>
  <c r="M39" i="32" s="1"/>
  <c r="M40" i="32" s="1"/>
  <c r="M41" i="32" s="1"/>
  <c r="M42" i="32" s="1"/>
  <c r="M43" i="32" s="1"/>
  <c r="M44" i="32" s="1"/>
  <c r="M45" i="32" s="1"/>
  <c r="M46" i="32" s="1"/>
  <c r="M47" i="32" s="1"/>
  <c r="M48" i="32" s="1"/>
  <c r="M49" i="32" s="1"/>
  <c r="M50" i="32" s="1"/>
  <c r="M51" i="32" s="1"/>
  <c r="M52" i="32" s="1"/>
  <c r="M53" i="32" s="1"/>
  <c r="M54" i="32" s="1"/>
  <c r="M55" i="32" s="1"/>
  <c r="M56" i="32" s="1"/>
  <c r="M57" i="32" s="1"/>
  <c r="M58" i="32" s="1"/>
  <c r="M59" i="32" s="1"/>
  <c r="M60" i="32" s="1"/>
  <c r="M77" i="29"/>
  <c r="AI66" i="26"/>
  <c r="K73" i="6"/>
  <c r="K74" i="6"/>
  <c r="K75" i="6"/>
  <c r="K76" i="6"/>
  <c r="K77" i="6"/>
  <c r="B61" i="20"/>
  <c r="B53" i="10"/>
  <c r="AS51" i="26"/>
  <c r="AS53" i="26"/>
  <c r="M27" i="33"/>
  <c r="M12" i="25"/>
  <c r="L103" i="25"/>
  <c r="C105" i="25"/>
  <c r="B105" i="25"/>
  <c r="C104" i="25"/>
  <c r="B104" i="25"/>
  <c r="H103" i="25"/>
  <c r="C103" i="25"/>
  <c r="B103" i="25"/>
  <c r="D83" i="25"/>
  <c r="O73" i="25"/>
  <c r="O74" i="25"/>
  <c r="O75" i="25" s="1"/>
  <c r="O76" i="25" s="1"/>
  <c r="O77" i="25" s="1"/>
  <c r="O78" i="25" s="1"/>
  <c r="D68" i="25"/>
  <c r="D67" i="25"/>
  <c r="D66" i="25"/>
  <c r="O19" i="25"/>
  <c r="F13" i="25"/>
  <c r="F12" i="25"/>
  <c r="F11" i="25"/>
  <c r="L10" i="25"/>
  <c r="B10" i="25"/>
  <c r="L9" i="25"/>
  <c r="F9" i="25"/>
  <c r="L8" i="25"/>
  <c r="F8" i="25"/>
  <c r="F10" i="25" s="1"/>
  <c r="L7" i="25"/>
  <c r="F7" i="25"/>
  <c r="L6" i="25"/>
  <c r="F6" i="25"/>
  <c r="L5" i="25"/>
  <c r="F5" i="25"/>
  <c r="L4" i="25"/>
  <c r="F4" i="25"/>
  <c r="L3" i="25"/>
  <c r="F3" i="25"/>
  <c r="L2" i="25"/>
  <c r="F2" i="25"/>
  <c r="C2" i="25"/>
  <c r="C1" i="25"/>
  <c r="M12" i="24"/>
  <c r="L103" i="24"/>
  <c r="C105" i="24"/>
  <c r="B105" i="24"/>
  <c r="C104" i="24"/>
  <c r="B104" i="24"/>
  <c r="H103" i="24"/>
  <c r="C103" i="24"/>
  <c r="B103" i="24"/>
  <c r="D83" i="24"/>
  <c r="O73" i="24"/>
  <c r="O74" i="24" s="1"/>
  <c r="O75" i="24" s="1"/>
  <c r="O76" i="24" s="1"/>
  <c r="D68" i="24"/>
  <c r="D67" i="24"/>
  <c r="D66" i="24"/>
  <c r="O19" i="24"/>
  <c r="O20" i="24"/>
  <c r="F13" i="24"/>
  <c r="F12" i="24"/>
  <c r="F11" i="24"/>
  <c r="L10" i="24"/>
  <c r="B10" i="24"/>
  <c r="L9" i="24"/>
  <c r="F9" i="24"/>
  <c r="L8" i="24"/>
  <c r="F8" i="24"/>
  <c r="L7" i="24"/>
  <c r="F7" i="24"/>
  <c r="L6" i="24"/>
  <c r="F6" i="24"/>
  <c r="L5" i="24"/>
  <c r="F5" i="24"/>
  <c r="L4" i="24"/>
  <c r="F4" i="24"/>
  <c r="L3" i="24"/>
  <c r="F3" i="24"/>
  <c r="L2" i="24"/>
  <c r="F2" i="24"/>
  <c r="C2" i="24"/>
  <c r="C1" i="24"/>
  <c r="M28" i="35"/>
  <c r="M29" i="35" s="1"/>
  <c r="M30" i="35" s="1"/>
  <c r="M31" i="35" s="1"/>
  <c r="M32" i="35" s="1"/>
  <c r="M33" i="35" s="1"/>
  <c r="M34" i="35" s="1"/>
  <c r="M35" i="35" s="1"/>
  <c r="M36" i="35" s="1"/>
  <c r="M37" i="35" s="1"/>
  <c r="M38" i="35" s="1"/>
  <c r="M39" i="35" s="1"/>
  <c r="M40" i="35" s="1"/>
  <c r="M41" i="35" s="1"/>
  <c r="M42" i="35" s="1"/>
  <c r="M43" i="35" s="1"/>
  <c r="M44" i="35" s="1"/>
  <c r="M45" i="35" s="1"/>
  <c r="M46" i="35" s="1"/>
  <c r="M47" i="35" s="1"/>
  <c r="M48" i="35" s="1"/>
  <c r="M49" i="35" s="1"/>
  <c r="M50" i="35" s="1"/>
  <c r="M51" i="35" s="1"/>
  <c r="M52" i="35" s="1"/>
  <c r="M53" i="35" s="1"/>
  <c r="M54" i="35" s="1"/>
  <c r="M55" i="35" s="1"/>
  <c r="M56" i="35" s="1"/>
  <c r="M57" i="35" s="1"/>
  <c r="M58" i="35" s="1"/>
  <c r="M59" i="35" s="1"/>
  <c r="M60" i="35" s="1"/>
  <c r="M28" i="33"/>
  <c r="M29" i="33" s="1"/>
  <c r="M30" i="33" s="1"/>
  <c r="M31" i="33" s="1"/>
  <c r="M32" i="33" s="1"/>
  <c r="M33" i="33" s="1"/>
  <c r="M34" i="33" s="1"/>
  <c r="M35" i="33" s="1"/>
  <c r="M36" i="33" s="1"/>
  <c r="M37" i="33" s="1"/>
  <c r="M38" i="33" s="1"/>
  <c r="M39" i="33" s="1"/>
  <c r="M40" i="33" s="1"/>
  <c r="M41" i="33" s="1"/>
  <c r="M42" i="33" s="1"/>
  <c r="M43" i="33" s="1"/>
  <c r="M44" i="33" s="1"/>
  <c r="M45" i="33" s="1"/>
  <c r="M46" i="33" s="1"/>
  <c r="M47" i="33" s="1"/>
  <c r="M48" i="33" s="1"/>
  <c r="M49" i="33" s="1"/>
  <c r="M50" i="33" s="1"/>
  <c r="M51" i="33" s="1"/>
  <c r="M52" i="33" s="1"/>
  <c r="M53" i="33" s="1"/>
  <c r="M54" i="33" s="1"/>
  <c r="M55" i="33" s="1"/>
  <c r="M56" i="33" s="1"/>
  <c r="M57" i="33" s="1"/>
  <c r="M58" i="33" s="1"/>
  <c r="M59" i="33" s="1"/>
  <c r="M60" i="33" s="1"/>
  <c r="M27" i="31"/>
  <c r="O21" i="24"/>
  <c r="O22" i="24" s="1"/>
  <c r="O23" i="24" s="1"/>
  <c r="O24" i="24" s="1"/>
  <c r="O20" i="25"/>
  <c r="O21" i="25" s="1"/>
  <c r="O22" i="25" s="1"/>
  <c r="O23" i="25" s="1"/>
  <c r="O24" i="25" s="1"/>
  <c r="O25" i="25" s="1"/>
  <c r="M28" i="31"/>
  <c r="O77" i="24"/>
  <c r="O78" i="24" s="1"/>
  <c r="M29" i="31"/>
  <c r="M30" i="31" s="1"/>
  <c r="M31" i="31" s="1"/>
  <c r="M32" i="31" s="1"/>
  <c r="M33" i="31" s="1"/>
  <c r="M34" i="31" s="1"/>
  <c r="M35" i="31" s="1"/>
  <c r="M36" i="31" s="1"/>
  <c r="M37" i="31" s="1"/>
  <c r="M38" i="31" s="1"/>
  <c r="M39" i="31" s="1"/>
  <c r="M40" i="31" s="1"/>
  <c r="M41" i="31" s="1"/>
  <c r="M42" i="31" s="1"/>
  <c r="M43" i="31" s="1"/>
  <c r="M44" i="31" s="1"/>
  <c r="M45" i="31" s="1"/>
  <c r="M46" i="31" s="1"/>
  <c r="M47" i="31" s="1"/>
  <c r="M48" i="31" s="1"/>
  <c r="M49" i="31" s="1"/>
  <c r="M50" i="31" s="1"/>
  <c r="M51" i="31" s="1"/>
  <c r="M52" i="31" s="1"/>
  <c r="M53" i="31" s="1"/>
  <c r="M54" i="31" s="1"/>
  <c r="M55" i="31" s="1"/>
  <c r="M56" i="31" s="1"/>
  <c r="M57" i="31" s="1"/>
  <c r="M58" i="31" s="1"/>
  <c r="M59" i="31" s="1"/>
  <c r="M60" i="31" s="1"/>
  <c r="E115" i="22"/>
  <c r="D83" i="22"/>
  <c r="O73" i="22"/>
  <c r="D68" i="22"/>
  <c r="D67" i="22"/>
  <c r="D66" i="22"/>
  <c r="O25" i="24"/>
  <c r="O26" i="24" s="1"/>
  <c r="O27" i="24" s="1"/>
  <c r="O28" i="24" s="1"/>
  <c r="O29" i="24" s="1"/>
  <c r="O30" i="24" s="1"/>
  <c r="O31" i="24" s="1"/>
  <c r="O32" i="24" s="1"/>
  <c r="O33" i="24" s="1"/>
  <c r="O74" i="22"/>
  <c r="D82" i="6"/>
  <c r="O75" i="22"/>
  <c r="O76" i="22" s="1"/>
  <c r="O77" i="22" s="1"/>
  <c r="O78" i="22" s="1"/>
  <c r="D67" i="6"/>
  <c r="D66" i="6"/>
  <c r="D65" i="6"/>
  <c r="D68" i="5"/>
  <c r="D55" i="5"/>
  <c r="D54" i="5"/>
  <c r="D53" i="5"/>
  <c r="J61" i="5"/>
  <c r="J62" i="5" s="1"/>
  <c r="J63" i="5" s="1"/>
  <c r="J64" i="5" s="1"/>
  <c r="J65" i="5" s="1"/>
  <c r="J66" i="5" s="1"/>
  <c r="M12" i="22"/>
  <c r="C106" i="22"/>
  <c r="B106" i="22"/>
  <c r="C105" i="22"/>
  <c r="B105" i="22"/>
  <c r="L104" i="22"/>
  <c r="C104" i="22"/>
  <c r="B104" i="22"/>
  <c r="O19" i="22"/>
  <c r="O20" i="22" s="1"/>
  <c r="O21" i="22"/>
  <c r="O22" i="22" s="1"/>
  <c r="O23" i="22" s="1"/>
  <c r="F13" i="22"/>
  <c r="F12" i="22"/>
  <c r="F11" i="22"/>
  <c r="L10" i="22"/>
  <c r="B10" i="22"/>
  <c r="L9" i="22"/>
  <c r="F9" i="22"/>
  <c r="L8" i="22"/>
  <c r="F8" i="22"/>
  <c r="L7" i="22"/>
  <c r="F7" i="22"/>
  <c r="F10" i="22" s="1"/>
  <c r="L6" i="22"/>
  <c r="F6" i="22"/>
  <c r="L5" i="22"/>
  <c r="F5" i="22"/>
  <c r="L4" i="22"/>
  <c r="F4" i="22"/>
  <c r="L3" i="22"/>
  <c r="F3" i="22"/>
  <c r="L2" i="22"/>
  <c r="F2" i="22"/>
  <c r="C2" i="22"/>
  <c r="C1" i="22"/>
  <c r="O24" i="22"/>
  <c r="O25" i="22" s="1"/>
  <c r="O26" i="22" s="1"/>
  <c r="O27" i="22" s="1"/>
  <c r="O28" i="22" s="1"/>
  <c r="E101" i="34"/>
  <c r="K101" i="34" s="1"/>
  <c r="E101" i="35"/>
  <c r="K101" i="35"/>
  <c r="E101" i="33"/>
  <c r="K101" i="33" s="1"/>
  <c r="E101" i="28"/>
  <c r="K101" i="28"/>
  <c r="E101" i="30"/>
  <c r="K101" i="30" s="1"/>
  <c r="E101" i="32"/>
  <c r="K101" i="32"/>
  <c r="E101" i="31"/>
  <c r="K101" i="31" s="1"/>
  <c r="E101" i="29"/>
  <c r="K101" i="29"/>
  <c r="F47" i="20"/>
  <c r="B47" i="20"/>
  <c r="F46" i="20"/>
  <c r="B46" i="20"/>
  <c r="F45" i="20"/>
  <c r="B45" i="20"/>
  <c r="C27" i="20"/>
  <c r="C26" i="20" s="1"/>
  <c r="C25" i="20"/>
  <c r="C23" i="20"/>
  <c r="C22" i="20"/>
  <c r="C21" i="20"/>
  <c r="C20" i="20"/>
  <c r="C24" i="20" s="1"/>
  <c r="C18" i="20"/>
  <c r="C17" i="20"/>
  <c r="C16" i="20"/>
  <c r="C15" i="20"/>
  <c r="C14" i="20"/>
  <c r="C13" i="20"/>
  <c r="C12" i="20"/>
  <c r="C11" i="20"/>
  <c r="I6" i="20"/>
  <c r="E6" i="20"/>
  <c r="C6" i="20"/>
  <c r="A9" i="20" s="1"/>
  <c r="C10" i="20" s="1"/>
  <c r="C19" i="20"/>
  <c r="A46" i="19"/>
  <c r="F40" i="19"/>
  <c r="B40" i="19"/>
  <c r="F39" i="19"/>
  <c r="B39" i="19"/>
  <c r="F38" i="19"/>
  <c r="B38" i="19"/>
  <c r="A27" i="19"/>
  <c r="C22" i="19"/>
  <c r="C21" i="19"/>
  <c r="C20" i="19"/>
  <c r="C19" i="19"/>
  <c r="C18" i="19"/>
  <c r="C17" i="19"/>
  <c r="C16" i="19"/>
  <c r="C15" i="19"/>
  <c r="C14" i="19"/>
  <c r="C13" i="19"/>
  <c r="C12" i="19"/>
  <c r="C11" i="19"/>
  <c r="I6" i="19"/>
  <c r="E6" i="19"/>
  <c r="C6" i="19"/>
  <c r="A9" i="19" s="1"/>
  <c r="A46" i="18"/>
  <c r="F40" i="18"/>
  <c r="B40" i="18"/>
  <c r="F39" i="18"/>
  <c r="B39" i="18"/>
  <c r="F38" i="18"/>
  <c r="B38" i="18"/>
  <c r="A27" i="18"/>
  <c r="C22" i="18"/>
  <c r="C21" i="18"/>
  <c r="C20" i="18"/>
  <c r="C19" i="18"/>
  <c r="C18" i="18"/>
  <c r="C17" i="18"/>
  <c r="C16" i="18"/>
  <c r="C15" i="18"/>
  <c r="C14" i="18"/>
  <c r="C13" i="18"/>
  <c r="C12" i="18"/>
  <c r="C11" i="18"/>
  <c r="I6" i="18"/>
  <c r="E6" i="18"/>
  <c r="C6" i="18"/>
  <c r="A9" i="18" s="1"/>
  <c r="A46" i="17"/>
  <c r="F40" i="17"/>
  <c r="B40" i="17"/>
  <c r="F39" i="17"/>
  <c r="B39" i="17"/>
  <c r="F38" i="17"/>
  <c r="B38" i="17"/>
  <c r="A27" i="17"/>
  <c r="C22" i="17"/>
  <c r="C21" i="17"/>
  <c r="C20" i="17"/>
  <c r="C19" i="17"/>
  <c r="C18" i="17"/>
  <c r="C17" i="17"/>
  <c r="C16" i="17"/>
  <c r="C15" i="17"/>
  <c r="C14" i="17"/>
  <c r="C13" i="17"/>
  <c r="C12" i="17"/>
  <c r="C11" i="17"/>
  <c r="I6" i="17"/>
  <c r="E6" i="17"/>
  <c r="C6" i="17"/>
  <c r="A9" i="17" s="1"/>
  <c r="A46" i="16"/>
  <c r="F40" i="16"/>
  <c r="B40" i="16"/>
  <c r="F39" i="16"/>
  <c r="B39" i="16"/>
  <c r="F38" i="16"/>
  <c r="B38" i="16"/>
  <c r="A27" i="16"/>
  <c r="C22" i="16"/>
  <c r="C21" i="16"/>
  <c r="C20" i="16"/>
  <c r="C19" i="16"/>
  <c r="C18" i="16"/>
  <c r="C17" i="16"/>
  <c r="C16" i="16"/>
  <c r="C15" i="16"/>
  <c r="C14" i="16"/>
  <c r="C13" i="16"/>
  <c r="C12" i="16"/>
  <c r="C11" i="16"/>
  <c r="I6" i="16"/>
  <c r="E6" i="16"/>
  <c r="C6" i="16"/>
  <c r="A9" i="16" s="1"/>
  <c r="A46" i="15"/>
  <c r="F40" i="15"/>
  <c r="B40" i="15"/>
  <c r="F39" i="15"/>
  <c r="B39" i="15"/>
  <c r="F38" i="15"/>
  <c r="B38" i="15"/>
  <c r="A27" i="15"/>
  <c r="C22" i="15"/>
  <c r="C21" i="15"/>
  <c r="C20" i="15"/>
  <c r="C19" i="15"/>
  <c r="C18" i="15"/>
  <c r="C17" i="15"/>
  <c r="C16" i="15"/>
  <c r="C15" i="15"/>
  <c r="C14" i="15"/>
  <c r="C13" i="15"/>
  <c r="C12" i="15"/>
  <c r="C11" i="15"/>
  <c r="I6" i="15"/>
  <c r="E6" i="15"/>
  <c r="C6" i="15"/>
  <c r="A9" i="15" s="1"/>
  <c r="C10" i="15" s="1"/>
  <c r="A46" i="14"/>
  <c r="F40" i="14"/>
  <c r="B40" i="14"/>
  <c r="F39" i="14"/>
  <c r="B39" i="14"/>
  <c r="F38" i="14"/>
  <c r="B38" i="14"/>
  <c r="A27" i="14"/>
  <c r="C22" i="14"/>
  <c r="C21" i="14"/>
  <c r="C20" i="14"/>
  <c r="C19" i="14"/>
  <c r="C18" i="14"/>
  <c r="C17" i="14"/>
  <c r="C16" i="14"/>
  <c r="C15" i="14"/>
  <c r="C14" i="14"/>
  <c r="C13" i="14"/>
  <c r="C12" i="14"/>
  <c r="C11" i="14"/>
  <c r="I6" i="14"/>
  <c r="E6" i="14"/>
  <c r="C6" i="14"/>
  <c r="A9" i="14" s="1"/>
  <c r="A46" i="13"/>
  <c r="F40" i="13"/>
  <c r="B40" i="13"/>
  <c r="F39" i="13"/>
  <c r="B39" i="13"/>
  <c r="F38" i="13"/>
  <c r="B38" i="13"/>
  <c r="A27" i="13"/>
  <c r="C22" i="13"/>
  <c r="C21" i="13"/>
  <c r="C20" i="13"/>
  <c r="C19" i="13"/>
  <c r="C18" i="13"/>
  <c r="C17" i="13"/>
  <c r="C16" i="13"/>
  <c r="C15" i="13"/>
  <c r="C14" i="13"/>
  <c r="C13" i="13"/>
  <c r="C12" i="13"/>
  <c r="C11" i="13"/>
  <c r="I6" i="13"/>
  <c r="E6" i="13"/>
  <c r="C6" i="13"/>
  <c r="A9" i="13" s="1"/>
  <c r="A27" i="12"/>
  <c r="C22" i="12"/>
  <c r="C21" i="12"/>
  <c r="C20" i="12"/>
  <c r="C19" i="12"/>
  <c r="C18" i="12"/>
  <c r="C17" i="12"/>
  <c r="C16" i="12"/>
  <c r="C15" i="12"/>
  <c r="C14" i="12"/>
  <c r="C13" i="12"/>
  <c r="C12" i="12"/>
  <c r="C11" i="12"/>
  <c r="I6" i="12"/>
  <c r="E6" i="12"/>
  <c r="C6" i="12"/>
  <c r="A9" i="12" s="1"/>
  <c r="C9" i="12" s="1"/>
  <c r="F41" i="10"/>
  <c r="F40" i="10"/>
  <c r="F39" i="10"/>
  <c r="B41" i="10"/>
  <c r="B40" i="10"/>
  <c r="B39" i="10"/>
  <c r="A34" i="3"/>
  <c r="A35" i="3"/>
  <c r="F35" i="3"/>
  <c r="F34" i="3"/>
  <c r="F33" i="3"/>
  <c r="C21" i="10"/>
  <c r="C20" i="10"/>
  <c r="C22" i="10"/>
  <c r="C17" i="10"/>
  <c r="C18" i="10"/>
  <c r="C19" i="10"/>
  <c r="C16" i="10"/>
  <c r="C15" i="10"/>
  <c r="C14" i="10"/>
  <c r="C13" i="10"/>
  <c r="C12" i="10"/>
  <c r="C11" i="10"/>
  <c r="I6" i="10"/>
  <c r="E6" i="10"/>
  <c r="C6" i="10"/>
  <c r="A9" i="10" s="1"/>
  <c r="C14" i="3"/>
  <c r="C11" i="3"/>
  <c r="K20" i="6"/>
  <c r="F4" i="6"/>
  <c r="E122" i="6"/>
  <c r="E121" i="6"/>
  <c r="B122" i="6"/>
  <c r="B121" i="6"/>
  <c r="E126" i="6"/>
  <c r="E120" i="6"/>
  <c r="B120" i="6"/>
  <c r="K12" i="6"/>
  <c r="J10" i="6"/>
  <c r="J9" i="6"/>
  <c r="J8" i="6"/>
  <c r="J7" i="6"/>
  <c r="J6" i="6"/>
  <c r="J5" i="6"/>
  <c r="J4" i="6"/>
  <c r="J3" i="6"/>
  <c r="F13" i="6"/>
  <c r="F12" i="6"/>
  <c r="F11" i="6"/>
  <c r="C1" i="6"/>
  <c r="F9" i="6"/>
  <c r="F98" i="6"/>
  <c r="F8" i="6"/>
  <c r="F97" i="6"/>
  <c r="F7" i="6"/>
  <c r="F96" i="6"/>
  <c r="F103" i="6" s="1"/>
  <c r="F3" i="6"/>
  <c r="F5" i="6"/>
  <c r="J2" i="6"/>
  <c r="C2" i="6"/>
  <c r="B10" i="6"/>
  <c r="J8" i="5"/>
  <c r="J9" i="5" s="1"/>
  <c r="J10" i="5" s="1"/>
  <c r="J11" i="5" s="1"/>
  <c r="J12" i="5" s="1"/>
  <c r="J13" i="5" s="1"/>
  <c r="J14" i="5" s="1"/>
  <c r="J15" i="5" s="1"/>
  <c r="J16" i="5" s="1"/>
  <c r="J17" i="5" s="1"/>
  <c r="J18" i="5" s="1"/>
  <c r="J19" i="5" s="1"/>
  <c r="J20" i="5" s="1"/>
  <c r="J21" i="5" s="1"/>
  <c r="J22" i="5" s="1"/>
  <c r="J23" i="5" s="1"/>
  <c r="J24" i="5" s="1"/>
  <c r="J25" i="5" s="1"/>
  <c r="J26" i="5" s="1"/>
  <c r="J27" i="5" s="1"/>
  <c r="J28" i="5" s="1"/>
  <c r="J29" i="5" s="1"/>
  <c r="J30" i="5" s="1"/>
  <c r="J31" i="5" s="1"/>
  <c r="J32" i="5" s="1"/>
  <c r="J33" i="5" s="1"/>
  <c r="J34" i="5" s="1"/>
  <c r="J35" i="5" s="1"/>
  <c r="J36" i="5" s="1"/>
  <c r="J37" i="5" s="1"/>
  <c r="J38" i="5" s="1"/>
  <c r="J39" i="5" s="1"/>
  <c r="F10" i="6"/>
  <c r="M18" i="6"/>
  <c r="M19" i="6"/>
  <c r="M20" i="6" s="1"/>
  <c r="M21" i="6" s="1"/>
  <c r="M22" i="6" s="1"/>
  <c r="M23" i="6" s="1"/>
  <c r="M24" i="6" s="1"/>
  <c r="M25" i="6" s="1"/>
  <c r="M26" i="6" s="1"/>
  <c r="M27" i="6" s="1"/>
  <c r="M28" i="6" s="1"/>
  <c r="M29" i="6" s="1"/>
  <c r="M30" i="6" s="1"/>
  <c r="M31" i="6" s="1"/>
  <c r="H63" i="5"/>
  <c r="H64" i="5"/>
  <c r="H65" i="5"/>
  <c r="H66" i="5"/>
  <c r="H62" i="5"/>
  <c r="H48" i="5"/>
  <c r="H49" i="5"/>
  <c r="H50" i="5"/>
  <c r="H51" i="5"/>
  <c r="H47" i="5"/>
  <c r="H41" i="5"/>
  <c r="H42" i="5"/>
  <c r="H43" i="5"/>
  <c r="H44" i="5"/>
  <c r="H45" i="5"/>
  <c r="H40" i="5"/>
  <c r="H32" i="5"/>
  <c r="H33" i="5"/>
  <c r="H34" i="5"/>
  <c r="H35" i="5"/>
  <c r="H36" i="5"/>
  <c r="H37" i="5"/>
  <c r="H38" i="5"/>
  <c r="H31" i="5"/>
  <c r="H19" i="5"/>
  <c r="H20" i="5"/>
  <c r="H21" i="5"/>
  <c r="H22" i="5"/>
  <c r="H23" i="5"/>
  <c r="H24" i="5"/>
  <c r="H25" i="5"/>
  <c r="H26" i="5"/>
  <c r="H27" i="5"/>
  <c r="H28" i="5"/>
  <c r="H29" i="5"/>
  <c r="H18" i="5"/>
  <c r="H14" i="5"/>
  <c r="H15" i="5"/>
  <c r="H16" i="5"/>
  <c r="H13" i="5"/>
  <c r="H11" i="5"/>
  <c r="M24" i="1"/>
  <c r="M30" i="1"/>
  <c r="M28" i="1"/>
  <c r="M20" i="1"/>
  <c r="K14" i="14" s="1"/>
  <c r="M16" i="1"/>
  <c r="K12" i="16" s="1"/>
  <c r="C17" i="3"/>
  <c r="C16" i="3"/>
  <c r="C15" i="3"/>
  <c r="C13" i="3"/>
  <c r="C12" i="3"/>
  <c r="I6" i="3"/>
  <c r="E6" i="3"/>
  <c r="C6" i="3"/>
  <c r="A9" i="3" s="1"/>
  <c r="C10" i="3" s="1"/>
  <c r="E100" i="35"/>
  <c r="K100" i="35" s="1"/>
  <c r="E100" i="34"/>
  <c r="K100" i="34" s="1"/>
  <c r="E100" i="31"/>
  <c r="K100" i="31" s="1"/>
  <c r="E100" i="33"/>
  <c r="K100" i="33" s="1"/>
  <c r="E100" i="32"/>
  <c r="K100" i="32" s="1"/>
  <c r="E100" i="30"/>
  <c r="K100" i="30" s="1"/>
  <c r="E100" i="29"/>
  <c r="E100" i="28"/>
  <c r="G3" i="2"/>
  <c r="G2" i="2"/>
  <c r="F3" i="2"/>
  <c r="F2" i="2"/>
  <c r="K100" i="28"/>
  <c r="K100" i="29"/>
  <c r="I76" i="1"/>
  <c r="I124" i="1"/>
  <c r="I118" i="1"/>
  <c r="I112" i="1"/>
  <c r="I106" i="1"/>
  <c r="I100" i="1"/>
  <c r="I94" i="1"/>
  <c r="I88" i="1"/>
  <c r="I82" i="1"/>
  <c r="E3" i="2"/>
  <c r="E2" i="2"/>
  <c r="L96" i="35"/>
  <c r="L111" i="35" s="1"/>
  <c r="D3" i="2"/>
  <c r="D2" i="2"/>
  <c r="M73" i="6"/>
  <c r="M74" i="6"/>
  <c r="E74" i="6" s="1"/>
  <c r="J74" i="6" s="1"/>
  <c r="H21" i="24"/>
  <c r="G21" i="24" s="1"/>
  <c r="A32" i="15"/>
  <c r="A33" i="10"/>
  <c r="A33" i="45"/>
  <c r="A28" i="10"/>
  <c r="A39" i="20"/>
  <c r="A32" i="17"/>
  <c r="A32" i="12"/>
  <c r="A32" i="19"/>
  <c r="A32" i="16"/>
  <c r="A39" i="46"/>
  <c r="A32" i="18"/>
  <c r="A32" i="14"/>
  <c r="A32" i="13"/>
  <c r="A21" i="3"/>
  <c r="A28" i="45"/>
  <c r="E28" i="22" l="1"/>
  <c r="N28" i="22" s="1"/>
  <c r="O29" i="22"/>
  <c r="O30" i="22" s="1"/>
  <c r="O31" i="22" s="1"/>
  <c r="O32" i="22" s="1"/>
  <c r="O33" i="22" s="1"/>
  <c r="O34" i="22" s="1"/>
  <c r="O35" i="22" s="1"/>
  <c r="O36" i="22" s="1"/>
  <c r="O37" i="22" s="1"/>
  <c r="O38" i="22" s="1"/>
  <c r="O39" i="22" s="1"/>
  <c r="O40" i="22" s="1"/>
  <c r="O41" i="22" s="1"/>
  <c r="A28" i="22"/>
  <c r="F19" i="22"/>
  <c r="E26" i="24"/>
  <c r="N26" i="24" s="1"/>
  <c r="E74" i="24"/>
  <c r="N74" i="24" s="1"/>
  <c r="A72" i="24"/>
  <c r="A19" i="24"/>
  <c r="A17" i="6"/>
  <c r="O34" i="24"/>
  <c r="O35" i="24" s="1"/>
  <c r="O36" i="24" s="1"/>
  <c r="O37" i="24" s="1"/>
  <c r="O38" i="24" s="1"/>
  <c r="O39" i="24" s="1"/>
  <c r="O40" i="24" s="1"/>
  <c r="O41" i="24" s="1"/>
  <c r="O42" i="24" s="1"/>
  <c r="O43" i="24" s="1"/>
  <c r="O44" i="24" s="1"/>
  <c r="O45" i="24" s="1"/>
  <c r="O46" i="24" s="1"/>
  <c r="O47" i="24" s="1"/>
  <c r="F33" i="24"/>
  <c r="O26" i="25"/>
  <c r="D26" i="25" s="1"/>
  <c r="D25" i="25"/>
  <c r="C25" i="25"/>
  <c r="M32" i="6"/>
  <c r="M33" i="6" s="1"/>
  <c r="M34" i="6" s="1"/>
  <c r="E31" i="6"/>
  <c r="J31" i="6" s="1"/>
  <c r="F78" i="22"/>
  <c r="M75" i="6"/>
  <c r="M76" i="6" s="1"/>
  <c r="M77" i="6" s="1"/>
  <c r="F39" i="22"/>
  <c r="F76" i="6"/>
  <c r="F106" i="30"/>
  <c r="F20" i="6"/>
  <c r="F101" i="6"/>
  <c r="AS107" i="26"/>
  <c r="AS109" i="26" s="1"/>
  <c r="F96" i="35"/>
  <c r="F111" i="35" s="1"/>
  <c r="F10" i="30"/>
  <c r="F97" i="30"/>
  <c r="F108" i="30" s="1"/>
  <c r="F10" i="24"/>
  <c r="F109" i="33"/>
  <c r="F111" i="33"/>
  <c r="F10" i="34"/>
  <c r="F10" i="33"/>
  <c r="H67" i="5"/>
  <c r="H68" i="5" s="1"/>
  <c r="H69" i="5" s="1"/>
  <c r="H71" i="5" s="1"/>
  <c r="H75" i="5" s="1"/>
  <c r="F21" i="25"/>
  <c r="F109" i="31"/>
  <c r="F107" i="31"/>
  <c r="F110" i="32"/>
  <c r="F108" i="32"/>
  <c r="F112" i="34"/>
  <c r="L96" i="6"/>
  <c r="L101" i="6" s="1"/>
  <c r="L96" i="29"/>
  <c r="L105" i="29" s="1"/>
  <c r="L96" i="30"/>
  <c r="L106" i="30" s="1"/>
  <c r="L96" i="32"/>
  <c r="L108" i="32" s="1"/>
  <c r="L96" i="34"/>
  <c r="L110" i="34" s="1"/>
  <c r="F104" i="28"/>
  <c r="L96" i="28"/>
  <c r="L104" i="28" s="1"/>
  <c r="L96" i="33"/>
  <c r="L109" i="33" s="1"/>
  <c r="L96" i="31"/>
  <c r="L107" i="31" s="1"/>
  <c r="F10" i="32"/>
  <c r="K14" i="20"/>
  <c r="K14" i="12"/>
  <c r="J40" i="5"/>
  <c r="D18" i="6"/>
  <c r="B75" i="25"/>
  <c r="A28" i="24"/>
  <c r="D75" i="25"/>
  <c r="A24" i="24"/>
  <c r="D27" i="24"/>
  <c r="A73" i="24"/>
  <c r="D76" i="25"/>
  <c r="F74" i="22"/>
  <c r="D73" i="25"/>
  <c r="A36" i="24"/>
  <c r="E21" i="25"/>
  <c r="N21" i="25" s="1"/>
  <c r="F74" i="24"/>
  <c r="D37" i="24"/>
  <c r="E45" i="24"/>
  <c r="N45" i="24" s="1"/>
  <c r="F45" i="24"/>
  <c r="D77" i="25"/>
  <c r="C21" i="22"/>
  <c r="C29" i="22"/>
  <c r="B31" i="22"/>
  <c r="B35" i="22"/>
  <c r="C33" i="22"/>
  <c r="A39" i="22"/>
  <c r="A78" i="25"/>
  <c r="F23" i="6"/>
  <c r="F24" i="6"/>
  <c r="F25" i="6"/>
  <c r="A28" i="6"/>
  <c r="A29" i="6"/>
  <c r="B30" i="6"/>
  <c r="E33" i="6"/>
  <c r="L33" i="6" s="1"/>
  <c r="F34" i="6"/>
  <c r="B73" i="6"/>
  <c r="E77" i="6"/>
  <c r="J77" i="6" s="1"/>
  <c r="E73" i="22"/>
  <c r="C72" i="25"/>
  <c r="F25" i="24"/>
  <c r="E75" i="24"/>
  <c r="N75" i="24" s="1"/>
  <c r="E76" i="22"/>
  <c r="N76" i="22" s="1"/>
  <c r="C44" i="24"/>
  <c r="C75" i="24"/>
  <c r="D46" i="24"/>
  <c r="E20" i="22"/>
  <c r="C20" i="6"/>
  <c r="F25" i="22"/>
  <c r="E25" i="22"/>
  <c r="N25" i="22" s="1"/>
  <c r="B77" i="22"/>
  <c r="C26" i="6"/>
  <c r="F31" i="6"/>
  <c r="B19" i="6"/>
  <c r="A20" i="25"/>
  <c r="E72" i="24"/>
  <c r="E22" i="24"/>
  <c r="A25" i="24"/>
  <c r="A19" i="25"/>
  <c r="D76" i="24"/>
  <c r="E75" i="22"/>
  <c r="I75" i="22" s="1"/>
  <c r="A75" i="24"/>
  <c r="F32" i="24"/>
  <c r="A37" i="24"/>
  <c r="B24" i="25"/>
  <c r="C34" i="24"/>
  <c r="D19" i="24"/>
  <c r="F31" i="24"/>
  <c r="F24" i="24"/>
  <c r="C33" i="24"/>
  <c r="A38" i="24"/>
  <c r="B47" i="24"/>
  <c r="B42" i="24"/>
  <c r="A77" i="25"/>
  <c r="A20" i="6"/>
  <c r="A34" i="22"/>
  <c r="F34" i="22"/>
  <c r="A41" i="22"/>
  <c r="E38" i="22"/>
  <c r="I38" i="22" s="1"/>
  <c r="E35" i="22"/>
  <c r="N35" i="22" s="1"/>
  <c r="A78" i="24"/>
  <c r="E22" i="6"/>
  <c r="L22" i="6" s="1"/>
  <c r="B23" i="6"/>
  <c r="D24" i="6"/>
  <c r="G24" i="6" s="1"/>
  <c r="C25" i="6"/>
  <c r="D28" i="6"/>
  <c r="G28" i="6" s="1"/>
  <c r="B29" i="6"/>
  <c r="D33" i="6"/>
  <c r="G33" i="6" s="1"/>
  <c r="F73" i="6"/>
  <c r="D75" i="6"/>
  <c r="G75" i="6" s="1"/>
  <c r="C73" i="24"/>
  <c r="A23" i="24"/>
  <c r="E30" i="24"/>
  <c r="N30" i="24" s="1"/>
  <c r="B72" i="22"/>
  <c r="D22" i="25"/>
  <c r="E41" i="24"/>
  <c r="N41" i="24" s="1"/>
  <c r="C29" i="24"/>
  <c r="E39" i="24"/>
  <c r="N39" i="24" s="1"/>
  <c r="F41" i="24"/>
  <c r="C47" i="24"/>
  <c r="E77" i="24"/>
  <c r="N77" i="24" s="1"/>
  <c r="E36" i="22"/>
  <c r="N36" i="22" s="1"/>
  <c r="C38" i="22"/>
  <c r="F23" i="22"/>
  <c r="B21" i="6"/>
  <c r="C22" i="6"/>
  <c r="A27" i="6"/>
  <c r="F72" i="6"/>
  <c r="E30" i="6"/>
  <c r="L30" i="6" s="1"/>
  <c r="D27" i="22"/>
  <c r="C40" i="22"/>
  <c r="A44" i="24"/>
  <c r="D31" i="24"/>
  <c r="D40" i="24"/>
  <c r="C73" i="22"/>
  <c r="C23" i="24"/>
  <c r="D19" i="22"/>
  <c r="A29" i="22"/>
  <c r="E30" i="22"/>
  <c r="F26" i="22"/>
  <c r="C41" i="24"/>
  <c r="C39" i="24"/>
  <c r="F35" i="24"/>
  <c r="C20" i="24"/>
  <c r="C74" i="24"/>
  <c r="L74" i="6"/>
  <c r="I28" i="22"/>
  <c r="D74" i="22"/>
  <c r="K74" i="22" s="1"/>
  <c r="D24" i="22"/>
  <c r="K24" i="22" s="1"/>
  <c r="J24" i="22" s="1"/>
  <c r="D28" i="22"/>
  <c r="K28" i="22" s="1"/>
  <c r="D33" i="22"/>
  <c r="K33" i="22" s="1"/>
  <c r="D35" i="22"/>
  <c r="K35" i="22" s="1"/>
  <c r="D41" i="22"/>
  <c r="K41" i="22" s="1"/>
  <c r="J41" i="22" s="1"/>
  <c r="D21" i="22"/>
  <c r="M21" i="22" s="1"/>
  <c r="F72" i="35"/>
  <c r="B72" i="35"/>
  <c r="D71" i="35"/>
  <c r="E18" i="35"/>
  <c r="E17" i="35"/>
  <c r="A17" i="35"/>
  <c r="C72" i="34"/>
  <c r="C71" i="34"/>
  <c r="E18" i="34"/>
  <c r="E17" i="34"/>
  <c r="A17" i="34"/>
  <c r="A72" i="34"/>
  <c r="D72" i="33"/>
  <c r="F71" i="33"/>
  <c r="B71" i="33"/>
  <c r="F18" i="33"/>
  <c r="B18" i="33"/>
  <c r="D17" i="33"/>
  <c r="F71" i="32"/>
  <c r="B71" i="32"/>
  <c r="B18" i="32"/>
  <c r="D17" i="32"/>
  <c r="F73" i="31"/>
  <c r="E72" i="31"/>
  <c r="A72" i="31"/>
  <c r="C71" i="31"/>
  <c r="F17" i="31"/>
  <c r="B17" i="31"/>
  <c r="E71" i="30"/>
  <c r="A71" i="30"/>
  <c r="A19" i="30"/>
  <c r="D18" i="30"/>
  <c r="F17" i="30"/>
  <c r="B17" i="30"/>
  <c r="E72" i="29"/>
  <c r="E71" i="29"/>
  <c r="A71" i="29"/>
  <c r="A18" i="29"/>
  <c r="C17" i="29"/>
  <c r="F71" i="28"/>
  <c r="B71" i="28"/>
  <c r="B19" i="28"/>
  <c r="D18" i="28"/>
  <c r="F17" i="28"/>
  <c r="B17" i="28"/>
  <c r="F74" i="35"/>
  <c r="D74" i="35"/>
  <c r="B19" i="35"/>
  <c r="C73" i="34"/>
  <c r="E73" i="34"/>
  <c r="A19" i="34"/>
  <c r="B19" i="33"/>
  <c r="F72" i="32"/>
  <c r="D72" i="32"/>
  <c r="C72" i="32"/>
  <c r="F18" i="31"/>
  <c r="E20" i="35"/>
  <c r="D77" i="22"/>
  <c r="K77" i="22" s="1"/>
  <c r="H77" i="24" s="1"/>
  <c r="D25" i="22"/>
  <c r="K25" i="22" s="1"/>
  <c r="D31" i="22"/>
  <c r="K31" i="22" s="1"/>
  <c r="D36" i="22"/>
  <c r="K36" i="22" s="1"/>
  <c r="J36" i="22" s="1"/>
  <c r="D38" i="22"/>
  <c r="K38" i="22" s="1"/>
  <c r="H38" i="24" s="1"/>
  <c r="G38" i="24" s="1"/>
  <c r="E72" i="35"/>
  <c r="A72" i="35"/>
  <c r="C71" i="35"/>
  <c r="C18" i="35"/>
  <c r="D17" i="35"/>
  <c r="F71" i="34"/>
  <c r="B71" i="34"/>
  <c r="C18" i="34"/>
  <c r="D17" i="34"/>
  <c r="F18" i="35"/>
  <c r="F73" i="35"/>
  <c r="A73" i="35"/>
  <c r="B18" i="34"/>
  <c r="F72" i="34"/>
  <c r="D72" i="34"/>
  <c r="E72" i="33"/>
  <c r="E71" i="33"/>
  <c r="A71" i="33"/>
  <c r="E18" i="33"/>
  <c r="A18" i="33"/>
  <c r="C17" i="33"/>
  <c r="E71" i="32"/>
  <c r="A71" i="32"/>
  <c r="E19" i="32"/>
  <c r="E18" i="32"/>
  <c r="A18" i="32"/>
  <c r="C17" i="32"/>
  <c r="C73" i="31"/>
  <c r="D72" i="31"/>
  <c r="F71" i="31"/>
  <c r="B71" i="31"/>
  <c r="E17" i="31"/>
  <c r="A17" i="31"/>
  <c r="D71" i="30"/>
  <c r="D19" i="30"/>
  <c r="C18" i="30"/>
  <c r="E17" i="30"/>
  <c r="A17" i="30"/>
  <c r="B72" i="29"/>
  <c r="D71" i="29"/>
  <c r="E18" i="29"/>
  <c r="F17" i="29"/>
  <c r="B17" i="29"/>
  <c r="E71" i="28"/>
  <c r="A71" i="28"/>
  <c r="E19" i="28"/>
  <c r="C18" i="28"/>
  <c r="E17" i="28"/>
  <c r="A17" i="28"/>
  <c r="B74" i="35"/>
  <c r="C19" i="35"/>
  <c r="F19" i="35"/>
  <c r="A73" i="34"/>
  <c r="D19" i="34"/>
  <c r="F19" i="34"/>
  <c r="E19" i="33"/>
  <c r="F19" i="32"/>
  <c r="B72" i="32"/>
  <c r="B18" i="31"/>
  <c r="E18" i="31"/>
  <c r="D76" i="22"/>
  <c r="K76" i="22" s="1"/>
  <c r="D30" i="22"/>
  <c r="K30" i="22" s="1"/>
  <c r="J30" i="22" s="1"/>
  <c r="D39" i="22"/>
  <c r="K39" i="22" s="1"/>
  <c r="C73" i="35"/>
  <c r="F71" i="35"/>
  <c r="A18" i="35"/>
  <c r="D71" i="34"/>
  <c r="F17" i="34"/>
  <c r="D18" i="35"/>
  <c r="D73" i="35"/>
  <c r="D71" i="33"/>
  <c r="D18" i="33"/>
  <c r="B17" i="33"/>
  <c r="F17" i="32"/>
  <c r="E71" i="31"/>
  <c r="D17" i="31"/>
  <c r="C71" i="30"/>
  <c r="A18" i="30"/>
  <c r="F72" i="29"/>
  <c r="B71" i="29"/>
  <c r="D17" i="29"/>
  <c r="C71" i="28"/>
  <c r="F19" i="28"/>
  <c r="E18" i="28"/>
  <c r="C17" i="28"/>
  <c r="A74" i="35"/>
  <c r="F73" i="34"/>
  <c r="C19" i="34"/>
  <c r="F19" i="33"/>
  <c r="B19" i="32"/>
  <c r="F19" i="30"/>
  <c r="B72" i="30"/>
  <c r="F18" i="29"/>
  <c r="A20" i="28"/>
  <c r="B20" i="28"/>
  <c r="E72" i="28"/>
  <c r="F20" i="35"/>
  <c r="D75" i="35"/>
  <c r="B75" i="35"/>
  <c r="E20" i="34"/>
  <c r="A74" i="34"/>
  <c r="B20" i="33"/>
  <c r="E73" i="33"/>
  <c r="A73" i="32"/>
  <c r="D20" i="32"/>
  <c r="B20" i="32"/>
  <c r="B19" i="31"/>
  <c r="B74" i="31"/>
  <c r="C74" i="31"/>
  <c r="D20" i="30"/>
  <c r="C73" i="30"/>
  <c r="E73" i="30"/>
  <c r="A73" i="29"/>
  <c r="D73" i="29"/>
  <c r="E19" i="29"/>
  <c r="A19" i="29"/>
  <c r="C21" i="28"/>
  <c r="E73" i="28"/>
  <c r="F25" i="35"/>
  <c r="D78" i="22"/>
  <c r="K78" i="22" s="1"/>
  <c r="H78" i="24" s="1"/>
  <c r="D32" i="22"/>
  <c r="K32" i="22" s="1"/>
  <c r="H32" i="24" s="1"/>
  <c r="G32" i="24" s="1"/>
  <c r="E71" i="35"/>
  <c r="F17" i="35"/>
  <c r="A71" i="34"/>
  <c r="C17" i="34"/>
  <c r="C71" i="33"/>
  <c r="C18" i="33"/>
  <c r="A17" i="33"/>
  <c r="E17" i="32"/>
  <c r="F72" i="31"/>
  <c r="D71" i="31"/>
  <c r="C17" i="31"/>
  <c r="B71" i="30"/>
  <c r="E18" i="30"/>
  <c r="D17" i="30"/>
  <c r="A72" i="29"/>
  <c r="D18" i="29"/>
  <c r="A17" i="29"/>
  <c r="D72" i="28"/>
  <c r="F20" i="28"/>
  <c r="C19" i="28"/>
  <c r="B18" i="28"/>
  <c r="C74" i="35"/>
  <c r="E19" i="35"/>
  <c r="B73" i="34"/>
  <c r="B19" i="34"/>
  <c r="A19" i="33"/>
  <c r="B72" i="33"/>
  <c r="D19" i="32"/>
  <c r="E73" i="31"/>
  <c r="B73" i="31"/>
  <c r="E72" i="30"/>
  <c r="B18" i="29"/>
  <c r="D20" i="28"/>
  <c r="E20" i="28"/>
  <c r="A72" i="28"/>
  <c r="B20" i="35"/>
  <c r="C75" i="35"/>
  <c r="E75" i="35"/>
  <c r="A20" i="34"/>
  <c r="F74" i="34"/>
  <c r="E20" i="33"/>
  <c r="A73" i="33"/>
  <c r="B73" i="33"/>
  <c r="F73" i="32"/>
  <c r="D73" i="32"/>
  <c r="C19" i="31"/>
  <c r="F19" i="31"/>
  <c r="E74" i="31"/>
  <c r="E20" i="30"/>
  <c r="B20" i="30"/>
  <c r="A73" i="30"/>
  <c r="C73" i="29"/>
  <c r="D19" i="29"/>
  <c r="B19" i="29"/>
  <c r="F21" i="28"/>
  <c r="A21" i="28"/>
  <c r="F73" i="28"/>
  <c r="D73" i="28"/>
  <c r="A76" i="35"/>
  <c r="F76" i="35"/>
  <c r="F21" i="35"/>
  <c r="D75" i="34"/>
  <c r="D23" i="22"/>
  <c r="K23" i="22" s="1"/>
  <c r="H23" i="24" s="1"/>
  <c r="G23" i="24" s="1"/>
  <c r="D34" i="22"/>
  <c r="K34" i="22" s="1"/>
  <c r="B71" i="35"/>
  <c r="D18" i="34"/>
  <c r="B72" i="34"/>
  <c r="C72" i="33"/>
  <c r="F17" i="33"/>
  <c r="B17" i="32"/>
  <c r="B72" i="31"/>
  <c r="F71" i="30"/>
  <c r="F18" i="30"/>
  <c r="F71" i="29"/>
  <c r="D71" i="28"/>
  <c r="F18" i="28"/>
  <c r="E74" i="35"/>
  <c r="L74" i="35" s="1"/>
  <c r="E19" i="34"/>
  <c r="E72" i="32"/>
  <c r="F18" i="32"/>
  <c r="C18" i="31"/>
  <c r="D73" i="31"/>
  <c r="D72" i="30"/>
  <c r="F75" i="35"/>
  <c r="F20" i="34"/>
  <c r="D74" i="34"/>
  <c r="E74" i="34"/>
  <c r="A20" i="33"/>
  <c r="B73" i="32"/>
  <c r="F74" i="31"/>
  <c r="F20" i="30"/>
  <c r="F73" i="30"/>
  <c r="C19" i="29"/>
  <c r="E21" i="28"/>
  <c r="A73" i="28"/>
  <c r="C76" i="35"/>
  <c r="D21" i="35"/>
  <c r="A75" i="34"/>
  <c r="F75" i="34"/>
  <c r="C21" i="34"/>
  <c r="E21" i="34"/>
  <c r="F74" i="33"/>
  <c r="D74" i="33"/>
  <c r="D21" i="33"/>
  <c r="B21" i="33"/>
  <c r="E21" i="32"/>
  <c r="C21" i="32"/>
  <c r="F74" i="32"/>
  <c r="F75" i="31"/>
  <c r="D75" i="31"/>
  <c r="A20" i="31"/>
  <c r="D74" i="30"/>
  <c r="B74" i="30"/>
  <c r="B21" i="30"/>
  <c r="D21" i="30"/>
  <c r="D74" i="29"/>
  <c r="A20" i="29"/>
  <c r="D74" i="28"/>
  <c r="A74" i="28"/>
  <c r="B22" i="28"/>
  <c r="E22" i="28"/>
  <c r="B77" i="35"/>
  <c r="C77" i="35"/>
  <c r="E22" i="35"/>
  <c r="C22" i="34"/>
  <c r="A22" i="34"/>
  <c r="B76" i="34"/>
  <c r="C76" i="34"/>
  <c r="C75" i="33"/>
  <c r="E75" i="33"/>
  <c r="C22" i="33"/>
  <c r="E22" i="33"/>
  <c r="E75" i="32"/>
  <c r="B75" i="32"/>
  <c r="F22" i="32"/>
  <c r="D22" i="32"/>
  <c r="B76" i="31"/>
  <c r="E21" i="31"/>
  <c r="F21" i="31"/>
  <c r="D75" i="30"/>
  <c r="F75" i="30"/>
  <c r="E22" i="30"/>
  <c r="A21" i="29"/>
  <c r="D75" i="29"/>
  <c r="A75" i="29"/>
  <c r="E23" i="28"/>
  <c r="E75" i="28"/>
  <c r="E23" i="35"/>
  <c r="B23" i="35"/>
  <c r="D77" i="34"/>
  <c r="E23" i="34"/>
  <c r="F23" i="34"/>
  <c r="D23" i="33"/>
  <c r="F76" i="33"/>
  <c r="B76" i="32"/>
  <c r="C76" i="32"/>
  <c r="C23" i="32"/>
  <c r="E23" i="32"/>
  <c r="D77" i="31"/>
  <c r="C77" i="31"/>
  <c r="E22" i="31"/>
  <c r="C22" i="31"/>
  <c r="E23" i="30"/>
  <c r="B76" i="30"/>
  <c r="C76" i="30"/>
  <c r="A22" i="29"/>
  <c r="B22" i="29"/>
  <c r="B76" i="29"/>
  <c r="A24" i="28"/>
  <c r="D24" i="28"/>
  <c r="B76" i="28"/>
  <c r="C76" i="28"/>
  <c r="E71" i="6"/>
  <c r="D26" i="22"/>
  <c r="K26" i="22" s="1"/>
  <c r="D37" i="22"/>
  <c r="K37" i="22" s="1"/>
  <c r="A71" i="35"/>
  <c r="A18" i="34"/>
  <c r="B73" i="35"/>
  <c r="F18" i="34"/>
  <c r="E72" i="34"/>
  <c r="A72" i="33"/>
  <c r="E17" i="33"/>
  <c r="A17" i="32"/>
  <c r="A71" i="31"/>
  <c r="E19" i="30"/>
  <c r="B18" i="30"/>
  <c r="C71" i="29"/>
  <c r="C20" i="28"/>
  <c r="A18" i="28"/>
  <c r="A19" i="35"/>
  <c r="C19" i="32"/>
  <c r="A72" i="32"/>
  <c r="D18" i="31"/>
  <c r="C72" i="29"/>
  <c r="D19" i="28"/>
  <c r="F72" i="28"/>
  <c r="A20" i="35"/>
  <c r="A75" i="35"/>
  <c r="B20" i="34"/>
  <c r="C74" i="34"/>
  <c r="D20" i="33"/>
  <c r="F73" i="33"/>
  <c r="E73" i="32"/>
  <c r="C20" i="32"/>
  <c r="A19" i="31"/>
  <c r="A74" i="31"/>
  <c r="B73" i="30"/>
  <c r="B73" i="29"/>
  <c r="F19" i="29"/>
  <c r="C73" i="28"/>
  <c r="E21" i="35"/>
  <c r="C75" i="34"/>
  <c r="A21" i="34"/>
  <c r="B74" i="33"/>
  <c r="C74" i="33"/>
  <c r="A21" i="33"/>
  <c r="A21" i="32"/>
  <c r="D74" i="32"/>
  <c r="B74" i="32"/>
  <c r="B75" i="31"/>
  <c r="D20" i="31"/>
  <c r="E20" i="31"/>
  <c r="C74" i="30"/>
  <c r="E74" i="30"/>
  <c r="C21" i="30"/>
  <c r="F74" i="29"/>
  <c r="C74" i="29"/>
  <c r="C20" i="29"/>
  <c r="F20" i="29"/>
  <c r="C74" i="28"/>
  <c r="B74" i="28"/>
  <c r="D22" i="28"/>
  <c r="E77" i="35"/>
  <c r="L77" i="35" s="1"/>
  <c r="F22" i="35"/>
  <c r="C22" i="35"/>
  <c r="E22" i="34"/>
  <c r="E76" i="34"/>
  <c r="A75" i="33"/>
  <c r="A22" i="33"/>
  <c r="A75" i="32"/>
  <c r="B22" i="32"/>
  <c r="C22" i="32"/>
  <c r="D76" i="31"/>
  <c r="F76" i="31"/>
  <c r="A21" i="31"/>
  <c r="D21" i="31"/>
  <c r="C75" i="30"/>
  <c r="A22" i="30"/>
  <c r="C21" i="29"/>
  <c r="D21" i="29"/>
  <c r="B23" i="28"/>
  <c r="C23" i="28"/>
  <c r="A75" i="28"/>
  <c r="B75" i="28"/>
  <c r="A23" i="35"/>
  <c r="B77" i="34"/>
  <c r="A23" i="34"/>
  <c r="B23" i="34"/>
  <c r="C23" i="33"/>
  <c r="D76" i="33"/>
  <c r="B76" i="33"/>
  <c r="E76" i="32"/>
  <c r="A23" i="32"/>
  <c r="B77" i="31"/>
  <c r="A22" i="31"/>
  <c r="B22" i="31"/>
  <c r="F23" i="30"/>
  <c r="A23" i="30"/>
  <c r="E76" i="30"/>
  <c r="F22" i="29"/>
  <c r="C22" i="29"/>
  <c r="D76" i="29"/>
  <c r="A76" i="29"/>
  <c r="C24" i="28"/>
  <c r="E76" i="28"/>
  <c r="D71" i="6"/>
  <c r="D24" i="35"/>
  <c r="A24" i="35"/>
  <c r="F24" i="34"/>
  <c r="D24" i="34"/>
  <c r="F24" i="33"/>
  <c r="D24" i="33"/>
  <c r="C77" i="33"/>
  <c r="F77" i="32"/>
  <c r="A77" i="32"/>
  <c r="A24" i="32"/>
  <c r="A23" i="31"/>
  <c r="B23" i="31"/>
  <c r="B17" i="35"/>
  <c r="E71" i="34"/>
  <c r="E73" i="35"/>
  <c r="C72" i="31"/>
  <c r="E17" i="29"/>
  <c r="C72" i="28"/>
  <c r="F72" i="33"/>
  <c r="C20" i="35"/>
  <c r="D20" i="34"/>
  <c r="C73" i="33"/>
  <c r="E20" i="32"/>
  <c r="D19" i="31"/>
  <c r="D74" i="31"/>
  <c r="F73" i="29"/>
  <c r="B73" i="28"/>
  <c r="E76" i="35"/>
  <c r="B21" i="35"/>
  <c r="C21" i="33"/>
  <c r="F21" i="32"/>
  <c r="C74" i="32"/>
  <c r="E75" i="31"/>
  <c r="A74" i="30"/>
  <c r="A74" i="29"/>
  <c r="E20" i="29"/>
  <c r="C22" i="28"/>
  <c r="F77" i="35"/>
  <c r="D22" i="35"/>
  <c r="F22" i="34"/>
  <c r="A76" i="34"/>
  <c r="D22" i="33"/>
  <c r="D75" i="32"/>
  <c r="B75" i="30"/>
  <c r="C22" i="30"/>
  <c r="B21" i="29"/>
  <c r="E75" i="29"/>
  <c r="C75" i="28"/>
  <c r="D23" i="35"/>
  <c r="A77" i="34"/>
  <c r="C23" i="34"/>
  <c r="A23" i="33"/>
  <c r="C76" i="33"/>
  <c r="A76" i="32"/>
  <c r="D22" i="31"/>
  <c r="B23" i="30"/>
  <c r="A76" i="30"/>
  <c r="F76" i="28"/>
  <c r="F71" i="6"/>
  <c r="C24" i="35"/>
  <c r="A24" i="34"/>
  <c r="C24" i="33"/>
  <c r="C72" i="35"/>
  <c r="B18" i="35"/>
  <c r="C71" i="32"/>
  <c r="A19" i="32"/>
  <c r="C18" i="32"/>
  <c r="C72" i="30"/>
  <c r="D72" i="29"/>
  <c r="D73" i="34"/>
  <c r="B19" i="30"/>
  <c r="A72" i="30"/>
  <c r="D20" i="35"/>
  <c r="F20" i="33"/>
  <c r="C73" i="32"/>
  <c r="E19" i="31"/>
  <c r="E73" i="29"/>
  <c r="D21" i="28"/>
  <c r="C21" i="35"/>
  <c r="B21" i="34"/>
  <c r="A74" i="33"/>
  <c r="E21" i="33"/>
  <c r="D21" i="32"/>
  <c r="A74" i="32"/>
  <c r="C75" i="31"/>
  <c r="B20" i="31"/>
  <c r="E21" i="30"/>
  <c r="B74" i="29"/>
  <c r="E74" i="28"/>
  <c r="F22" i="28"/>
  <c r="A77" i="35"/>
  <c r="D22" i="34"/>
  <c r="B75" i="33"/>
  <c r="F22" i="33"/>
  <c r="A22" i="32"/>
  <c r="E76" i="31"/>
  <c r="B21" i="31"/>
  <c r="A75" i="30"/>
  <c r="F22" i="30"/>
  <c r="F75" i="29"/>
  <c r="A23" i="28"/>
  <c r="F75" i="28"/>
  <c r="F77" i="34"/>
  <c r="B23" i="33"/>
  <c r="A76" i="33"/>
  <c r="B23" i="32"/>
  <c r="A77" i="31"/>
  <c r="C23" i="30"/>
  <c r="D22" i="29"/>
  <c r="E76" i="29"/>
  <c r="F24" i="28"/>
  <c r="D76" i="28"/>
  <c r="B71" i="6"/>
  <c r="B24" i="35"/>
  <c r="B24" i="34"/>
  <c r="D72" i="35"/>
  <c r="C19" i="30"/>
  <c r="F72" i="30"/>
  <c r="D73" i="33"/>
  <c r="A20" i="30"/>
  <c r="D73" i="30"/>
  <c r="C20" i="31"/>
  <c r="A21" i="30"/>
  <c r="B20" i="29"/>
  <c r="D77" i="35"/>
  <c r="A22" i="35"/>
  <c r="F76" i="34"/>
  <c r="F75" i="33"/>
  <c r="F75" i="32"/>
  <c r="C76" i="31"/>
  <c r="C21" i="31"/>
  <c r="B22" i="30"/>
  <c r="F23" i="33"/>
  <c r="E77" i="31"/>
  <c r="F22" i="31"/>
  <c r="F76" i="30"/>
  <c r="F76" i="29"/>
  <c r="J41" i="5"/>
  <c r="E24" i="33"/>
  <c r="E77" i="33"/>
  <c r="C77" i="32"/>
  <c r="D77" i="32"/>
  <c r="F24" i="32"/>
  <c r="F23" i="31"/>
  <c r="F77" i="30"/>
  <c r="A77" i="30"/>
  <c r="D24" i="30"/>
  <c r="A77" i="29"/>
  <c r="B23" i="29"/>
  <c r="E23" i="29"/>
  <c r="D77" i="28"/>
  <c r="D25" i="28"/>
  <c r="A25" i="35"/>
  <c r="B25" i="35"/>
  <c r="B25" i="34"/>
  <c r="E25" i="33"/>
  <c r="E25" i="32"/>
  <c r="C25" i="32"/>
  <c r="F24" i="31"/>
  <c r="D24" i="31"/>
  <c r="D25" i="30"/>
  <c r="E24" i="29"/>
  <c r="E26" i="28"/>
  <c r="F26" i="28"/>
  <c r="F26" i="35"/>
  <c r="D26" i="35"/>
  <c r="C26" i="34"/>
  <c r="E26" i="34"/>
  <c r="F26" i="33"/>
  <c r="B26" i="32"/>
  <c r="E25" i="31"/>
  <c r="F26" i="30"/>
  <c r="C25" i="29"/>
  <c r="E25" i="29"/>
  <c r="D27" i="28"/>
  <c r="F27" i="28"/>
  <c r="C27" i="35"/>
  <c r="E27" i="35"/>
  <c r="A27" i="34"/>
  <c r="E27" i="33"/>
  <c r="D29" i="22"/>
  <c r="K29" i="22" s="1"/>
  <c r="C17" i="30"/>
  <c r="D19" i="33"/>
  <c r="C20" i="30"/>
  <c r="B21" i="28"/>
  <c r="A21" i="35"/>
  <c r="F21" i="34"/>
  <c r="E74" i="32"/>
  <c r="F20" i="31"/>
  <c r="F74" i="30"/>
  <c r="D20" i="29"/>
  <c r="A22" i="28"/>
  <c r="B22" i="34"/>
  <c r="C75" i="32"/>
  <c r="E22" i="32"/>
  <c r="E21" i="29"/>
  <c r="D75" i="28"/>
  <c r="C23" i="35"/>
  <c r="C77" i="34"/>
  <c r="F76" i="32"/>
  <c r="F23" i="32"/>
  <c r="D23" i="30"/>
  <c r="C76" i="29"/>
  <c r="C71" i="6"/>
  <c r="F24" i="35"/>
  <c r="C24" i="34"/>
  <c r="D77" i="33"/>
  <c r="B77" i="32"/>
  <c r="C24" i="32"/>
  <c r="E24" i="32"/>
  <c r="E23" i="31"/>
  <c r="B77" i="30"/>
  <c r="C24" i="30"/>
  <c r="B24" i="30"/>
  <c r="C77" i="29"/>
  <c r="C23" i="29"/>
  <c r="C77" i="28"/>
  <c r="A77" i="28"/>
  <c r="B25" i="28"/>
  <c r="A25" i="28"/>
  <c r="C25" i="35"/>
  <c r="A25" i="34"/>
  <c r="F25" i="33"/>
  <c r="D25" i="33"/>
  <c r="D25" i="32"/>
  <c r="B25" i="32"/>
  <c r="C24" i="31"/>
  <c r="A25" i="30"/>
  <c r="C25" i="30"/>
  <c r="D24" i="29"/>
  <c r="E26" i="35"/>
  <c r="F26" i="34"/>
  <c r="A26" i="33"/>
  <c r="A26" i="32"/>
  <c r="B25" i="31"/>
  <c r="E26" i="30"/>
  <c r="C26" i="30"/>
  <c r="D25" i="29"/>
  <c r="F25" i="29"/>
  <c r="C27" i="28"/>
  <c r="E27" i="28"/>
  <c r="F27" i="35"/>
  <c r="D27" i="35"/>
  <c r="C27" i="34"/>
  <c r="D27" i="33"/>
  <c r="B27" i="33"/>
  <c r="F27" i="32"/>
  <c r="D27" i="32"/>
  <c r="D26" i="31"/>
  <c r="C26" i="31"/>
  <c r="E27" i="30"/>
  <c r="C26" i="29"/>
  <c r="F26" i="29"/>
  <c r="E28" i="28"/>
  <c r="F28" i="35"/>
  <c r="B28" i="34"/>
  <c r="C28" i="34"/>
  <c r="A28" i="33"/>
  <c r="B28" i="33"/>
  <c r="B28" i="32"/>
  <c r="E27" i="31"/>
  <c r="B27" i="31"/>
  <c r="A28" i="30"/>
  <c r="D27" i="29"/>
  <c r="D29" i="28"/>
  <c r="C29" i="35"/>
  <c r="A29" i="34"/>
  <c r="E29" i="33"/>
  <c r="D71" i="32"/>
  <c r="A18" i="31"/>
  <c r="D17" i="28"/>
  <c r="B72" i="28"/>
  <c r="C20" i="34"/>
  <c r="C20" i="33"/>
  <c r="B76" i="35"/>
  <c r="B75" i="34"/>
  <c r="E74" i="33"/>
  <c r="B21" i="32"/>
  <c r="F21" i="30"/>
  <c r="E74" i="29"/>
  <c r="D76" i="34"/>
  <c r="B22" i="33"/>
  <c r="E75" i="30"/>
  <c r="F21" i="29"/>
  <c r="B75" i="29"/>
  <c r="F23" i="35"/>
  <c r="D23" i="34"/>
  <c r="E24" i="35"/>
  <c r="L24" i="35" s="1"/>
  <c r="B24" i="33"/>
  <c r="F77" i="33"/>
  <c r="E77" i="32"/>
  <c r="E77" i="30"/>
  <c r="F24" i="30"/>
  <c r="B77" i="29"/>
  <c r="A23" i="29"/>
  <c r="E77" i="28"/>
  <c r="F25" i="28"/>
  <c r="F25" i="30"/>
  <c r="B24" i="29"/>
  <c r="B26" i="28"/>
  <c r="B26" i="35"/>
  <c r="A26" i="34"/>
  <c r="D26" i="33"/>
  <c r="E26" i="33"/>
  <c r="D26" i="32"/>
  <c r="C25" i="31"/>
  <c r="D26" i="30"/>
  <c r="D27" i="34"/>
  <c r="C27" i="33"/>
  <c r="C27" i="32"/>
  <c r="F26" i="31"/>
  <c r="C27" i="30"/>
  <c r="B28" i="28"/>
  <c r="D28" i="35"/>
  <c r="A28" i="35"/>
  <c r="F28" i="34"/>
  <c r="F28" i="33"/>
  <c r="C28" i="32"/>
  <c r="A28" i="32"/>
  <c r="F28" i="30"/>
  <c r="A27" i="29"/>
  <c r="B27" i="29"/>
  <c r="A29" i="28"/>
  <c r="A29" i="35"/>
  <c r="D29" i="34"/>
  <c r="F29" i="33"/>
  <c r="C29" i="33"/>
  <c r="C29" i="32"/>
  <c r="E29" i="32"/>
  <c r="B28" i="31"/>
  <c r="C28" i="31"/>
  <c r="D29" i="30"/>
  <c r="F29" i="30"/>
  <c r="B28" i="29"/>
  <c r="A28" i="29"/>
  <c r="C30" i="28"/>
  <c r="A30" i="28"/>
  <c r="F30" i="35"/>
  <c r="D30" i="35"/>
  <c r="F30" i="34"/>
  <c r="C30" i="33"/>
  <c r="E30" i="33"/>
  <c r="D30" i="32"/>
  <c r="E29" i="31"/>
  <c r="F30" i="30"/>
  <c r="B30" i="30"/>
  <c r="D29" i="29"/>
  <c r="A29" i="29"/>
  <c r="D31" i="28"/>
  <c r="C31" i="28"/>
  <c r="C31" i="35"/>
  <c r="E31" i="35"/>
  <c r="A31" i="34"/>
  <c r="B31" i="34"/>
  <c r="F31" i="33"/>
  <c r="F31" i="32"/>
  <c r="D31" i="32"/>
  <c r="D30" i="31"/>
  <c r="F31" i="30"/>
  <c r="D31" i="30"/>
  <c r="B30" i="29"/>
  <c r="B32" i="28"/>
  <c r="C32" i="28"/>
  <c r="D32" i="35"/>
  <c r="B32" i="35"/>
  <c r="E32" i="34"/>
  <c r="A32" i="33"/>
  <c r="B32" i="33"/>
  <c r="C32" i="32"/>
  <c r="E32" i="32"/>
  <c r="D31" i="31"/>
  <c r="C31" i="31"/>
  <c r="C32" i="30"/>
  <c r="E32" i="30"/>
  <c r="A31" i="29"/>
  <c r="F31" i="29"/>
  <c r="B33" i="28"/>
  <c r="A33" i="35"/>
  <c r="F33" i="35"/>
  <c r="C17" i="35"/>
  <c r="B17" i="34"/>
  <c r="C19" i="33"/>
  <c r="D18" i="32"/>
  <c r="C18" i="29"/>
  <c r="D19" i="35"/>
  <c r="A19" i="28"/>
  <c r="B74" i="34"/>
  <c r="D76" i="35"/>
  <c r="E75" i="34"/>
  <c r="D21" i="34"/>
  <c r="D75" i="33"/>
  <c r="C75" i="29"/>
  <c r="E23" i="33"/>
  <c r="F77" i="31"/>
  <c r="D76" i="30"/>
  <c r="E24" i="34"/>
  <c r="D23" i="31"/>
  <c r="C77" i="30"/>
  <c r="A24" i="30"/>
  <c r="D77" i="29"/>
  <c r="F23" i="29"/>
  <c r="F77" i="28"/>
  <c r="C25" i="28"/>
  <c r="E25" i="35"/>
  <c r="L25" i="35" s="1"/>
  <c r="E25" i="34"/>
  <c r="B25" i="33"/>
  <c r="E24" i="31"/>
  <c r="B25" i="30"/>
  <c r="D26" i="28"/>
  <c r="C26" i="35"/>
  <c r="C26" i="33"/>
  <c r="F26" i="32"/>
  <c r="C26" i="32"/>
  <c r="D25" i="31"/>
  <c r="A25" i="31"/>
  <c r="A26" i="30"/>
  <c r="B25" i="29"/>
  <c r="A27" i="28"/>
  <c r="A27" i="35"/>
  <c r="F27" i="33"/>
  <c r="E27" i="32"/>
  <c r="A26" i="31"/>
  <c r="F27" i="30"/>
  <c r="D27" i="30"/>
  <c r="A26" i="29"/>
  <c r="D28" i="28"/>
  <c r="A28" i="34"/>
  <c r="D28" i="33"/>
  <c r="F28" i="32"/>
  <c r="A27" i="31"/>
  <c r="C27" i="31"/>
  <c r="D28" i="30"/>
  <c r="E28" i="30"/>
  <c r="C27" i="29"/>
  <c r="B29" i="28"/>
  <c r="F29" i="35"/>
  <c r="B29" i="34"/>
  <c r="A29" i="33"/>
  <c r="F29" i="32"/>
  <c r="A28" i="31"/>
  <c r="C29" i="30"/>
  <c r="E29" i="30"/>
  <c r="C28" i="29"/>
  <c r="B30" i="28"/>
  <c r="E30" i="35"/>
  <c r="C30" i="34"/>
  <c r="E30" i="34"/>
  <c r="F30" i="33"/>
  <c r="D30" i="33"/>
  <c r="E30" i="32"/>
  <c r="F30" i="32"/>
  <c r="B29" i="31"/>
  <c r="E30" i="30"/>
  <c r="E31" i="28"/>
  <c r="B31" i="28"/>
  <c r="F31" i="35"/>
  <c r="A31" i="35"/>
  <c r="C31" i="34"/>
  <c r="C31" i="33"/>
  <c r="E31" i="33"/>
  <c r="E31" i="32"/>
  <c r="E30" i="31"/>
  <c r="B30" i="31"/>
  <c r="E31" i="30"/>
  <c r="C30" i="29"/>
  <c r="F30" i="29"/>
  <c r="A32" i="28"/>
  <c r="A32" i="35"/>
  <c r="F32" i="34"/>
  <c r="D32" i="34"/>
  <c r="C32" i="33"/>
  <c r="F32" i="32"/>
  <c r="D32" i="32"/>
  <c r="E31" i="31"/>
  <c r="B31" i="31"/>
  <c r="F32" i="30"/>
  <c r="D32" i="30"/>
  <c r="D33" i="28"/>
  <c r="C33" i="35"/>
  <c r="F33" i="34"/>
  <c r="A20" i="32"/>
  <c r="F23" i="28"/>
  <c r="E24" i="30"/>
  <c r="E25" i="28"/>
  <c r="D25" i="35"/>
  <c r="E25" i="30"/>
  <c r="F24" i="29"/>
  <c r="A26" i="35"/>
  <c r="B26" i="34"/>
  <c r="A25" i="29"/>
  <c r="B27" i="28"/>
  <c r="E27" i="34"/>
  <c r="A27" i="32"/>
  <c r="D26" i="29"/>
  <c r="C28" i="28"/>
  <c r="C28" i="35"/>
  <c r="D27" i="31"/>
  <c r="C28" i="30"/>
  <c r="F27" i="29"/>
  <c r="E29" i="35"/>
  <c r="E29" i="34"/>
  <c r="D29" i="33"/>
  <c r="B29" i="32"/>
  <c r="E28" i="31"/>
  <c r="A29" i="30"/>
  <c r="E28" i="29"/>
  <c r="D30" i="28"/>
  <c r="B30" i="35"/>
  <c r="D30" i="34"/>
  <c r="C29" i="31"/>
  <c r="D29" i="31"/>
  <c r="C30" i="30"/>
  <c r="C29" i="29"/>
  <c r="E29" i="29"/>
  <c r="D31" i="34"/>
  <c r="D31" i="33"/>
  <c r="C31" i="32"/>
  <c r="C30" i="31"/>
  <c r="A30" i="29"/>
  <c r="F32" i="35"/>
  <c r="B32" i="34"/>
  <c r="E32" i="33"/>
  <c r="B32" i="32"/>
  <c r="A31" i="31"/>
  <c r="E31" i="29"/>
  <c r="D31" i="29"/>
  <c r="F33" i="28"/>
  <c r="E33" i="35"/>
  <c r="L33" i="35" s="1"/>
  <c r="C33" i="34"/>
  <c r="A33" i="34"/>
  <c r="B33" i="33"/>
  <c r="C33" i="33"/>
  <c r="C33" i="32"/>
  <c r="A33" i="32"/>
  <c r="E32" i="31"/>
  <c r="E33" i="30"/>
  <c r="F33" i="30"/>
  <c r="B32" i="29"/>
  <c r="C32" i="29"/>
  <c r="D34" i="28"/>
  <c r="B34" i="35"/>
  <c r="C34" i="35"/>
  <c r="E34" i="34"/>
  <c r="C34" i="33"/>
  <c r="E34" i="33"/>
  <c r="D34" i="32"/>
  <c r="F34" i="32"/>
  <c r="B33" i="31"/>
  <c r="A34" i="30"/>
  <c r="C34" i="30"/>
  <c r="C33" i="29"/>
  <c r="E33" i="29"/>
  <c r="A35" i="28"/>
  <c r="F35" i="28"/>
  <c r="A35" i="35"/>
  <c r="C35" i="34"/>
  <c r="C35" i="33"/>
  <c r="A35" i="33"/>
  <c r="E35" i="32"/>
  <c r="D34" i="31"/>
  <c r="B34" i="31"/>
  <c r="B35" i="30"/>
  <c r="D35" i="30"/>
  <c r="F34" i="29"/>
  <c r="C34" i="29"/>
  <c r="B36" i="28"/>
  <c r="C36" i="28"/>
  <c r="E36" i="35"/>
  <c r="E36" i="34"/>
  <c r="D36" i="33"/>
  <c r="B36" i="32"/>
  <c r="A35" i="31"/>
  <c r="C35" i="31"/>
  <c r="C36" i="30"/>
  <c r="B36" i="30"/>
  <c r="D35" i="29"/>
  <c r="B35" i="29"/>
  <c r="C37" i="28"/>
  <c r="E37" i="28"/>
  <c r="D37" i="35"/>
  <c r="A37" i="34"/>
  <c r="E37" i="33"/>
  <c r="D37" i="32"/>
  <c r="B37" i="32"/>
  <c r="B36" i="31"/>
  <c r="C36" i="31"/>
  <c r="E37" i="30"/>
  <c r="E36" i="29"/>
  <c r="D38" i="28"/>
  <c r="E38" i="35"/>
  <c r="B38" i="35"/>
  <c r="F38" i="34"/>
  <c r="A38" i="34"/>
  <c r="E38" i="33"/>
  <c r="E38" i="32"/>
  <c r="F38" i="32"/>
  <c r="C37" i="31"/>
  <c r="E37" i="31"/>
  <c r="A38" i="30"/>
  <c r="C38" i="30"/>
  <c r="C37" i="29"/>
  <c r="E37" i="29"/>
  <c r="A39" i="28"/>
  <c r="C39" i="28"/>
  <c r="B39" i="35"/>
  <c r="C39" i="35"/>
  <c r="E39" i="34"/>
  <c r="B39" i="34"/>
  <c r="D39" i="33"/>
  <c r="A39" i="32"/>
  <c r="E38" i="31"/>
  <c r="B38" i="31"/>
  <c r="B39" i="30"/>
  <c r="F38" i="29"/>
  <c r="D40" i="28"/>
  <c r="E40" i="35"/>
  <c r="F40" i="35"/>
  <c r="B40" i="34"/>
  <c r="E40" i="34"/>
  <c r="D40" i="32"/>
  <c r="F40" i="32"/>
  <c r="A39" i="31"/>
  <c r="B39" i="31"/>
  <c r="F40" i="30"/>
  <c r="F39" i="29"/>
  <c r="D39" i="29"/>
  <c r="B41" i="28"/>
  <c r="E41" i="28"/>
  <c r="C41" i="35"/>
  <c r="F41" i="35"/>
  <c r="C41" i="34"/>
  <c r="F41" i="34"/>
  <c r="B41" i="33"/>
  <c r="E41" i="33"/>
  <c r="C41" i="32"/>
  <c r="A40" i="31"/>
  <c r="D40" i="31"/>
  <c r="D41" i="30"/>
  <c r="F41" i="30"/>
  <c r="C40" i="29"/>
  <c r="C42" i="28"/>
  <c r="E42" i="28"/>
  <c r="E42" i="35"/>
  <c r="F42" i="34"/>
  <c r="E42" i="34"/>
  <c r="C42" i="33"/>
  <c r="F42" i="33"/>
  <c r="B42" i="32"/>
  <c r="C42" i="32"/>
  <c r="D41" i="31"/>
  <c r="B42" i="30"/>
  <c r="C42" i="30"/>
  <c r="D41" i="29"/>
  <c r="E41" i="29"/>
  <c r="C43" i="28"/>
  <c r="D43" i="28"/>
  <c r="F43" i="35"/>
  <c r="E43" i="35"/>
  <c r="L43" i="35" s="1"/>
  <c r="A43" i="34"/>
  <c r="D43" i="34"/>
  <c r="F43" i="33"/>
  <c r="E43" i="33"/>
  <c r="C43" i="32"/>
  <c r="E43" i="32"/>
  <c r="A42" i="31"/>
  <c r="A43" i="30"/>
  <c r="F42" i="29"/>
  <c r="F44" i="28"/>
  <c r="D44" i="28"/>
  <c r="B44" i="35"/>
  <c r="E44" i="35"/>
  <c r="D44" i="34"/>
  <c r="A44" i="33"/>
  <c r="F44" i="33"/>
  <c r="A44" i="32"/>
  <c r="D43" i="31"/>
  <c r="F43" i="31"/>
  <c r="F44" i="30"/>
  <c r="E43" i="29"/>
  <c r="A45" i="28"/>
  <c r="E45" i="35"/>
  <c r="F45" i="33"/>
  <c r="D45" i="33"/>
  <c r="C45" i="32"/>
  <c r="A44" i="31"/>
  <c r="F44" i="31"/>
  <c r="E45" i="30"/>
  <c r="F45" i="30"/>
  <c r="F44" i="29"/>
  <c r="C44" i="29"/>
  <c r="D46" i="28"/>
  <c r="B46" i="35"/>
  <c r="D46" i="34"/>
  <c r="C46" i="34"/>
  <c r="F46" i="33"/>
  <c r="D46" i="33"/>
  <c r="A46" i="32"/>
  <c r="B45" i="31"/>
  <c r="D45" i="31"/>
  <c r="F46" i="30"/>
  <c r="D46" i="30"/>
  <c r="A45" i="29"/>
  <c r="E47" i="28"/>
  <c r="C47" i="28"/>
  <c r="F47" i="35"/>
  <c r="C47" i="35"/>
  <c r="F47" i="34"/>
  <c r="A47" i="33"/>
  <c r="B47" i="32"/>
  <c r="B46" i="31"/>
  <c r="E46" i="31"/>
  <c r="F47" i="30"/>
  <c r="D47" i="30"/>
  <c r="F46" i="29"/>
  <c r="F20" i="32"/>
  <c r="F21" i="33"/>
  <c r="B22" i="35"/>
  <c r="A76" i="31"/>
  <c r="D23" i="28"/>
  <c r="A77" i="33"/>
  <c r="D77" i="30"/>
  <c r="E77" i="29"/>
  <c r="D25" i="34"/>
  <c r="C25" i="33"/>
  <c r="B24" i="31"/>
  <c r="A24" i="29"/>
  <c r="D26" i="34"/>
  <c r="B26" i="33"/>
  <c r="E26" i="32"/>
  <c r="B26" i="31"/>
  <c r="B27" i="30"/>
  <c r="B26" i="29"/>
  <c r="F28" i="28"/>
  <c r="B28" i="35"/>
  <c r="D28" i="34"/>
  <c r="C28" i="33"/>
  <c r="E28" i="32"/>
  <c r="F27" i="31"/>
  <c r="B28" i="30"/>
  <c r="E29" i="28"/>
  <c r="B29" i="35"/>
  <c r="D29" i="32"/>
  <c r="B29" i="30"/>
  <c r="F28" i="29"/>
  <c r="C30" i="35"/>
  <c r="B30" i="34"/>
  <c r="A30" i="33"/>
  <c r="C30" i="32"/>
  <c r="F29" i="31"/>
  <c r="D30" i="30"/>
  <c r="B31" i="33"/>
  <c r="B31" i="32"/>
  <c r="A31" i="30"/>
  <c r="E32" i="28"/>
  <c r="C32" i="35"/>
  <c r="C32" i="34"/>
  <c r="F31" i="31"/>
  <c r="B32" i="30"/>
  <c r="C33" i="28"/>
  <c r="A33" i="28"/>
  <c r="B33" i="34"/>
  <c r="A33" i="33"/>
  <c r="F33" i="32"/>
  <c r="F32" i="31"/>
  <c r="D32" i="31"/>
  <c r="A33" i="30"/>
  <c r="E32" i="29"/>
  <c r="E34" i="28"/>
  <c r="F34" i="28"/>
  <c r="A34" i="35"/>
  <c r="D34" i="34"/>
  <c r="B34" i="34"/>
  <c r="F34" i="33"/>
  <c r="D34" i="33"/>
  <c r="E34" i="32"/>
  <c r="B34" i="32"/>
  <c r="A33" i="31"/>
  <c r="D34" i="30"/>
  <c r="F33" i="29"/>
  <c r="B33" i="29"/>
  <c r="B35" i="35"/>
  <c r="A35" i="34"/>
  <c r="F35" i="34"/>
  <c r="F35" i="33"/>
  <c r="F35" i="32"/>
  <c r="D35" i="32"/>
  <c r="E34" i="31"/>
  <c r="F34" i="31"/>
  <c r="E35" i="30"/>
  <c r="A36" i="28"/>
  <c r="D36" i="35"/>
  <c r="B36" i="35"/>
  <c r="F36" i="34"/>
  <c r="D36" i="34"/>
  <c r="E36" i="33"/>
  <c r="F36" i="33"/>
  <c r="A36" i="32"/>
  <c r="A36" i="30"/>
  <c r="E35" i="29"/>
  <c r="F37" i="28"/>
  <c r="A37" i="28"/>
  <c r="A37" i="35"/>
  <c r="F37" i="35"/>
  <c r="B37" i="34"/>
  <c r="B37" i="33"/>
  <c r="D37" i="33"/>
  <c r="A37" i="32"/>
  <c r="A36" i="31"/>
  <c r="A37" i="30"/>
  <c r="B37" i="30"/>
  <c r="F36" i="29"/>
  <c r="C36" i="29"/>
  <c r="E38" i="28"/>
  <c r="F38" i="28"/>
  <c r="D38" i="35"/>
  <c r="D38" i="34"/>
  <c r="C38" i="34"/>
  <c r="F38" i="33"/>
  <c r="D38" i="33"/>
  <c r="D38" i="32"/>
  <c r="B37" i="31"/>
  <c r="D37" i="31"/>
  <c r="B38" i="30"/>
  <c r="A37" i="29"/>
  <c r="E39" i="28"/>
  <c r="B39" i="28"/>
  <c r="E39" i="35"/>
  <c r="C39" i="34"/>
  <c r="D39" i="34"/>
  <c r="E39" i="33"/>
  <c r="B39" i="33"/>
  <c r="B39" i="32"/>
  <c r="C39" i="32"/>
  <c r="C38" i="31"/>
  <c r="C39" i="30"/>
  <c r="D38" i="29"/>
  <c r="A38" i="29"/>
  <c r="F40" i="28"/>
  <c r="E40" i="28"/>
  <c r="B40" i="35"/>
  <c r="C40" i="34"/>
  <c r="A40" i="33"/>
  <c r="D40" i="33"/>
  <c r="C40" i="32"/>
  <c r="E40" i="32"/>
  <c r="D39" i="31"/>
  <c r="C40" i="30"/>
  <c r="E40" i="30"/>
  <c r="A39" i="29"/>
  <c r="C39" i="29"/>
  <c r="C41" i="28"/>
  <c r="D41" i="35"/>
  <c r="B41" i="35"/>
  <c r="A41" i="34"/>
  <c r="B41" i="34"/>
  <c r="C41" i="33"/>
  <c r="A41" i="32"/>
  <c r="B40" i="31"/>
  <c r="E41" i="30"/>
  <c r="B40" i="29"/>
  <c r="E40" i="29"/>
  <c r="B42" i="28"/>
  <c r="D42" i="35"/>
  <c r="F42" i="35"/>
  <c r="D42" i="34"/>
  <c r="C42" i="34"/>
  <c r="A42" i="33"/>
  <c r="B42" i="33"/>
  <c r="A42" i="32"/>
  <c r="B41" i="31"/>
  <c r="A41" i="31"/>
  <c r="A42" i="30"/>
  <c r="E43" i="28"/>
  <c r="B43" i="28"/>
  <c r="C43" i="35"/>
  <c r="D43" i="33"/>
  <c r="C43" i="33"/>
  <c r="F43" i="32"/>
  <c r="D43" i="32"/>
  <c r="E42" i="31"/>
  <c r="F42" i="31"/>
  <c r="B43" i="30"/>
  <c r="D42" i="29"/>
  <c r="E42" i="29"/>
  <c r="A44" i="28"/>
  <c r="F44" i="35"/>
  <c r="F44" i="34"/>
  <c r="A44" i="34"/>
  <c r="C44" i="33"/>
  <c r="D44" i="32"/>
  <c r="B44" i="32"/>
  <c r="C43" i="31"/>
  <c r="B43" i="31"/>
  <c r="C44" i="30"/>
  <c r="A44" i="30"/>
  <c r="C43" i="29"/>
  <c r="D43" i="29"/>
  <c r="D45" i="28"/>
  <c r="F45" i="35"/>
  <c r="E45" i="34"/>
  <c r="D45" i="34"/>
  <c r="E45" i="33"/>
  <c r="A45" i="32"/>
  <c r="B45" i="32"/>
  <c r="C44" i="31"/>
  <c r="D45" i="30"/>
  <c r="A44" i="29"/>
  <c r="A46" i="28"/>
  <c r="B46" i="28"/>
  <c r="A46" i="35"/>
  <c r="D46" i="35"/>
  <c r="F46" i="34"/>
  <c r="E46" i="34"/>
  <c r="C46" i="33"/>
  <c r="E46" i="33"/>
  <c r="B46" i="32"/>
  <c r="C46" i="32"/>
  <c r="A45" i="31"/>
  <c r="E46" i="30"/>
  <c r="D45" i="29"/>
  <c r="F47" i="28"/>
  <c r="B47" i="28"/>
  <c r="E47" i="35"/>
  <c r="A47" i="34"/>
  <c r="D47" i="34"/>
  <c r="F47" i="33"/>
  <c r="C47" i="32"/>
  <c r="A47" i="32"/>
  <c r="F46" i="31"/>
  <c r="E47" i="30"/>
  <c r="E46" i="29"/>
  <c r="F74" i="28"/>
  <c r="A24" i="33"/>
  <c r="B24" i="32"/>
  <c r="A25" i="33"/>
  <c r="F25" i="32"/>
  <c r="A26" i="28"/>
  <c r="B26" i="30"/>
  <c r="E28" i="34"/>
  <c r="D28" i="31"/>
  <c r="E30" i="28"/>
  <c r="A30" i="30"/>
  <c r="B29" i="29"/>
  <c r="B31" i="35"/>
  <c r="A30" i="31"/>
  <c r="B31" i="30"/>
  <c r="E30" i="29"/>
  <c r="F32" i="28"/>
  <c r="C31" i="29"/>
  <c r="F33" i="33"/>
  <c r="B33" i="32"/>
  <c r="B32" i="31"/>
  <c r="D33" i="30"/>
  <c r="D33" i="31"/>
  <c r="F34" i="30"/>
  <c r="D33" i="29"/>
  <c r="B35" i="28"/>
  <c r="C35" i="35"/>
  <c r="D35" i="35"/>
  <c r="B35" i="34"/>
  <c r="C34" i="31"/>
  <c r="A35" i="30"/>
  <c r="D34" i="29"/>
  <c r="B34" i="29"/>
  <c r="D36" i="28"/>
  <c r="C36" i="35"/>
  <c r="C36" i="33"/>
  <c r="B35" i="31"/>
  <c r="E36" i="30"/>
  <c r="F35" i="29"/>
  <c r="E37" i="35"/>
  <c r="E37" i="34"/>
  <c r="D36" i="31"/>
  <c r="D37" i="30"/>
  <c r="A36" i="29"/>
  <c r="F38" i="35"/>
  <c r="E38" i="34"/>
  <c r="F37" i="29"/>
  <c r="F39" i="28"/>
  <c r="F39" i="35"/>
  <c r="C39" i="33"/>
  <c r="D38" i="31"/>
  <c r="E39" i="30"/>
  <c r="E38" i="29"/>
  <c r="A40" i="28"/>
  <c r="C40" i="35"/>
  <c r="E40" i="33"/>
  <c r="B40" i="33"/>
  <c r="E39" i="31"/>
  <c r="A40" i="30"/>
  <c r="D41" i="34"/>
  <c r="F41" i="33"/>
  <c r="D41" i="32"/>
  <c r="C40" i="31"/>
  <c r="B41" i="30"/>
  <c r="F40" i="29"/>
  <c r="C42" i="35"/>
  <c r="D42" i="33"/>
  <c r="F42" i="32"/>
  <c r="C41" i="31"/>
  <c r="F42" i="30"/>
  <c r="B43" i="35"/>
  <c r="F43" i="34"/>
  <c r="A43" i="33"/>
  <c r="B43" i="32"/>
  <c r="B42" i="31"/>
  <c r="F43" i="30"/>
  <c r="E44" i="28"/>
  <c r="A44" i="35"/>
  <c r="B44" i="34"/>
  <c r="E44" i="33"/>
  <c r="C44" i="32"/>
  <c r="A43" i="31"/>
  <c r="D44" i="30"/>
  <c r="A43" i="29"/>
  <c r="F45" i="34"/>
  <c r="B45" i="33"/>
  <c r="E45" i="32"/>
  <c r="B44" i="31"/>
  <c r="A45" i="30"/>
  <c r="E46" i="28"/>
  <c r="B46" i="34"/>
  <c r="D46" i="32"/>
  <c r="F45" i="31"/>
  <c r="A46" i="30"/>
  <c r="A47" i="28"/>
  <c r="A47" i="35"/>
  <c r="D47" i="32"/>
  <c r="A46" i="31"/>
  <c r="B47" i="30"/>
  <c r="F48" i="35"/>
  <c r="F48" i="34"/>
  <c r="A47" i="31"/>
  <c r="C48" i="30"/>
  <c r="E47" i="29"/>
  <c r="D47" i="29"/>
  <c r="E48" i="31"/>
  <c r="A73" i="31"/>
  <c r="A75" i="31"/>
  <c r="D24" i="32"/>
  <c r="A25" i="32"/>
  <c r="C24" i="29"/>
  <c r="C26" i="28"/>
  <c r="F25" i="31"/>
  <c r="B27" i="35"/>
  <c r="E26" i="31"/>
  <c r="E26" i="29"/>
  <c r="E28" i="35"/>
  <c r="E28" i="33"/>
  <c r="B29" i="33"/>
  <c r="F30" i="28"/>
  <c r="A30" i="35"/>
  <c r="B30" i="32"/>
  <c r="F29" i="29"/>
  <c r="E31" i="34"/>
  <c r="F30" i="31"/>
  <c r="D30" i="29"/>
  <c r="A32" i="32"/>
  <c r="B31" i="29"/>
  <c r="D33" i="34"/>
  <c r="D33" i="33"/>
  <c r="D33" i="32"/>
  <c r="C32" i="31"/>
  <c r="A32" i="29"/>
  <c r="C34" i="28"/>
  <c r="E34" i="35"/>
  <c r="L34" i="35" s="1"/>
  <c r="A34" i="34"/>
  <c r="B34" i="33"/>
  <c r="A34" i="32"/>
  <c r="D35" i="28"/>
  <c r="F35" i="35"/>
  <c r="E35" i="34"/>
  <c r="E35" i="33"/>
  <c r="A35" i="32"/>
  <c r="A34" i="31"/>
  <c r="F35" i="30"/>
  <c r="F36" i="28"/>
  <c r="F36" i="35"/>
  <c r="A36" i="34"/>
  <c r="E36" i="32"/>
  <c r="D35" i="31"/>
  <c r="C35" i="29"/>
  <c r="B37" i="28"/>
  <c r="C37" i="35"/>
  <c r="C37" i="33"/>
  <c r="E37" i="32"/>
  <c r="F36" i="31"/>
  <c r="F37" i="30"/>
  <c r="C38" i="28"/>
  <c r="B38" i="33"/>
  <c r="C38" i="32"/>
  <c r="F38" i="30"/>
  <c r="B37" i="29"/>
  <c r="D39" i="35"/>
  <c r="A39" i="33"/>
  <c r="E39" i="32"/>
  <c r="F38" i="31"/>
  <c r="B40" i="28"/>
  <c r="D40" i="34"/>
  <c r="B40" i="32"/>
  <c r="C39" i="31"/>
  <c r="E39" i="29"/>
  <c r="D41" i="28"/>
  <c r="E41" i="34"/>
  <c r="A41" i="33"/>
  <c r="C41" i="30"/>
  <c r="A40" i="29"/>
  <c r="A42" i="28"/>
  <c r="B42" i="35"/>
  <c r="B42" i="34"/>
  <c r="E42" i="33"/>
  <c r="D42" i="32"/>
  <c r="F41" i="31"/>
  <c r="D42" i="30"/>
  <c r="C41" i="29"/>
  <c r="A41" i="29"/>
  <c r="D43" i="35"/>
  <c r="C43" i="34"/>
  <c r="D42" i="31"/>
  <c r="C43" i="30"/>
  <c r="D43" i="30"/>
  <c r="A42" i="29"/>
  <c r="C44" i="35"/>
  <c r="E44" i="34"/>
  <c r="F44" i="32"/>
  <c r="E43" i="31"/>
  <c r="B44" i="30"/>
  <c r="E45" i="28"/>
  <c r="A45" i="35"/>
  <c r="A45" i="34"/>
  <c r="C45" i="33"/>
  <c r="F45" i="32"/>
  <c r="D44" i="31"/>
  <c r="B45" i="30"/>
  <c r="E44" i="29"/>
  <c r="C46" i="28"/>
  <c r="C46" i="35"/>
  <c r="A46" i="33"/>
  <c r="F46" i="32"/>
  <c r="E45" i="31"/>
  <c r="E45" i="29"/>
  <c r="B47" i="35"/>
  <c r="E47" i="34"/>
  <c r="B47" i="33"/>
  <c r="F47" i="32"/>
  <c r="C46" i="31"/>
  <c r="A46" i="29"/>
  <c r="B48" i="28"/>
  <c r="B48" i="35"/>
  <c r="D48" i="34"/>
  <c r="F48" i="32"/>
  <c r="B47" i="31"/>
  <c r="C47" i="31"/>
  <c r="B48" i="30"/>
  <c r="F47" i="29"/>
  <c r="B47" i="29"/>
  <c r="B48" i="29"/>
  <c r="E48" i="29"/>
  <c r="D76" i="32"/>
  <c r="B24" i="28"/>
  <c r="F77" i="29"/>
  <c r="B27" i="34"/>
  <c r="A27" i="33"/>
  <c r="A28" i="28"/>
  <c r="D28" i="32"/>
  <c r="E27" i="29"/>
  <c r="F29" i="28"/>
  <c r="D28" i="29"/>
  <c r="A30" i="34"/>
  <c r="F31" i="34"/>
  <c r="A31" i="33"/>
  <c r="A32" i="34"/>
  <c r="B33" i="35"/>
  <c r="B34" i="28"/>
  <c r="C34" i="34"/>
  <c r="E33" i="31"/>
  <c r="E35" i="28"/>
  <c r="E34" i="29"/>
  <c r="C36" i="34"/>
  <c r="D36" i="32"/>
  <c r="C37" i="34"/>
  <c r="F37" i="33"/>
  <c r="E36" i="31"/>
  <c r="D36" i="29"/>
  <c r="A38" i="32"/>
  <c r="E38" i="30"/>
  <c r="D37" i="29"/>
  <c r="A39" i="35"/>
  <c r="F39" i="34"/>
  <c r="F39" i="30"/>
  <c r="A40" i="34"/>
  <c r="D40" i="30"/>
  <c r="F41" i="28"/>
  <c r="A41" i="35"/>
  <c r="F40" i="31"/>
  <c r="F42" i="28"/>
  <c r="E42" i="30"/>
  <c r="F43" i="28"/>
  <c r="E43" i="34"/>
  <c r="B43" i="33"/>
  <c r="B42" i="29"/>
  <c r="B44" i="28"/>
  <c r="F43" i="29"/>
  <c r="F45" i="28"/>
  <c r="C45" i="35"/>
  <c r="B44" i="29"/>
  <c r="E46" i="35"/>
  <c r="L46" i="35" s="1"/>
  <c r="A46" i="34"/>
  <c r="C47" i="34"/>
  <c r="E47" i="32"/>
  <c r="D46" i="29"/>
  <c r="E48" i="35"/>
  <c r="C48" i="33"/>
  <c r="E47" i="31"/>
  <c r="C48" i="29"/>
  <c r="F18" i="22"/>
  <c r="E19" i="22"/>
  <c r="B18" i="6"/>
  <c r="A19" i="6"/>
  <c r="C19" i="6"/>
  <c r="C17" i="6"/>
  <c r="C18" i="6"/>
  <c r="F72" i="25"/>
  <c r="F73" i="25"/>
  <c r="D73" i="24"/>
  <c r="D19" i="25"/>
  <c r="A74" i="24"/>
  <c r="B20" i="25"/>
  <c r="D22" i="24"/>
  <c r="D23" i="24"/>
  <c r="F73" i="22"/>
  <c r="F23" i="25"/>
  <c r="F26" i="24"/>
  <c r="F76" i="22"/>
  <c r="D28" i="24"/>
  <c r="B72" i="25"/>
  <c r="B73" i="25"/>
  <c r="F74" i="25"/>
  <c r="A72" i="25"/>
  <c r="F21" i="24"/>
  <c r="D75" i="24"/>
  <c r="C20" i="25"/>
  <c r="F22" i="24"/>
  <c r="A72" i="22"/>
  <c r="B24" i="24"/>
  <c r="B22" i="25"/>
  <c r="B74" i="22"/>
  <c r="A24" i="25"/>
  <c r="B27" i="24"/>
  <c r="A30" i="24"/>
  <c r="F18" i="25"/>
  <c r="D72" i="25"/>
  <c r="B74" i="25"/>
  <c r="E75" i="25"/>
  <c r="N75" i="25" s="1"/>
  <c r="C21" i="24"/>
  <c r="F76" i="24"/>
  <c r="E23" i="24"/>
  <c r="N23" i="24" s="1"/>
  <c r="C22" i="25"/>
  <c r="E74" i="22"/>
  <c r="F24" i="25"/>
  <c r="B75" i="22"/>
  <c r="C76" i="22"/>
  <c r="E29" i="24"/>
  <c r="N29" i="24" s="1"/>
  <c r="C75" i="25"/>
  <c r="D21" i="25"/>
  <c r="A26" i="24"/>
  <c r="B29" i="24"/>
  <c r="D32" i="24"/>
  <c r="F34" i="24"/>
  <c r="C36" i="24"/>
  <c r="B37" i="24"/>
  <c r="B38" i="24"/>
  <c r="F40" i="24"/>
  <c r="E42" i="24"/>
  <c r="N42" i="24" s="1"/>
  <c r="E43" i="24"/>
  <c r="N43" i="24" s="1"/>
  <c r="D44" i="24"/>
  <c r="C19" i="24"/>
  <c r="B21" i="25"/>
  <c r="B26" i="24"/>
  <c r="A29" i="24"/>
  <c r="B32" i="24"/>
  <c r="E34" i="24"/>
  <c r="N34" i="24" s="1"/>
  <c r="B35" i="24"/>
  <c r="E36" i="24"/>
  <c r="N36" i="24" s="1"/>
  <c r="D42" i="24"/>
  <c r="C43" i="24"/>
  <c r="B73" i="24"/>
  <c r="E26" i="25"/>
  <c r="N26" i="25" s="1"/>
  <c r="A39" i="24"/>
  <c r="C18" i="25"/>
  <c r="E72" i="22"/>
  <c r="B28" i="24"/>
  <c r="E31" i="24"/>
  <c r="N31" i="24" s="1"/>
  <c r="B33" i="24"/>
  <c r="D35" i="24"/>
  <c r="D41" i="24"/>
  <c r="B43" i="24"/>
  <c r="C46" i="24"/>
  <c r="F43" i="24"/>
  <c r="A45" i="24"/>
  <c r="A41" i="24"/>
  <c r="E46" i="24"/>
  <c r="N46" i="24" s="1"/>
  <c r="D18" i="22"/>
  <c r="A77" i="24"/>
  <c r="B77" i="25"/>
  <c r="E77" i="25"/>
  <c r="N77" i="25" s="1"/>
  <c r="A22" i="22"/>
  <c r="E21" i="22"/>
  <c r="B21" i="22"/>
  <c r="E20" i="6"/>
  <c r="A26" i="22"/>
  <c r="F28" i="22"/>
  <c r="A33" i="22"/>
  <c r="C36" i="22"/>
  <c r="F38" i="22"/>
  <c r="A24" i="22"/>
  <c r="C28" i="22"/>
  <c r="B30" i="22"/>
  <c r="B33" i="22"/>
  <c r="E37" i="22"/>
  <c r="E40" i="22"/>
  <c r="C23" i="22"/>
  <c r="E29" i="22"/>
  <c r="N29" i="22" s="1"/>
  <c r="B34" i="22"/>
  <c r="C39" i="22"/>
  <c r="E26" i="22"/>
  <c r="F31" i="22"/>
  <c r="B37" i="22"/>
  <c r="C25" i="22"/>
  <c r="A36" i="22"/>
  <c r="B36" i="22"/>
  <c r="C32" i="22"/>
  <c r="B32" i="22"/>
  <c r="E21" i="6"/>
  <c r="F78" i="25"/>
  <c r="E78" i="25"/>
  <c r="N78" i="25" s="1"/>
  <c r="F78" i="24"/>
  <c r="C77" i="22"/>
  <c r="C78" i="22"/>
  <c r="A22" i="6"/>
  <c r="D23" i="6"/>
  <c r="G23" i="6" s="1"/>
  <c r="A23" i="6"/>
  <c r="E24" i="6"/>
  <c r="C24" i="6"/>
  <c r="D25" i="6"/>
  <c r="G25" i="6" s="1"/>
  <c r="B25" i="6"/>
  <c r="F28" i="6"/>
  <c r="E26" i="6"/>
  <c r="C28" i="6"/>
  <c r="C27" i="6"/>
  <c r="D27" i="6"/>
  <c r="G27" i="6" s="1"/>
  <c r="E29" i="6"/>
  <c r="F29" i="6"/>
  <c r="F30" i="6"/>
  <c r="C31" i="6"/>
  <c r="D31" i="6"/>
  <c r="G31" i="6" s="1"/>
  <c r="H31" i="6" s="1"/>
  <c r="A32" i="6"/>
  <c r="E34" i="6"/>
  <c r="E72" i="6"/>
  <c r="E73" i="6"/>
  <c r="A74" i="6"/>
  <c r="C74" i="6"/>
  <c r="F75" i="6"/>
  <c r="B75" i="6"/>
  <c r="D76" i="6"/>
  <c r="G76" i="6" s="1"/>
  <c r="B76" i="6"/>
  <c r="D77" i="6"/>
  <c r="G77" i="6" s="1"/>
  <c r="A77" i="6"/>
  <c r="D22" i="30"/>
  <c r="E77" i="34"/>
  <c r="E76" i="33"/>
  <c r="D23" i="32"/>
  <c r="E22" i="29"/>
  <c r="E24" i="28"/>
  <c r="A76" i="28"/>
  <c r="A71" i="6"/>
  <c r="D23" i="29"/>
  <c r="A24" i="31"/>
  <c r="F27" i="34"/>
  <c r="B27" i="32"/>
  <c r="C29" i="28"/>
  <c r="B30" i="33"/>
  <c r="A31" i="32"/>
  <c r="C31" i="30"/>
  <c r="D32" i="28"/>
  <c r="E32" i="35"/>
  <c r="D33" i="35"/>
  <c r="D32" i="29"/>
  <c r="A34" i="28"/>
  <c r="D34" i="35"/>
  <c r="F34" i="34"/>
  <c r="B34" i="30"/>
  <c r="C35" i="28"/>
  <c r="B35" i="32"/>
  <c r="A34" i="29"/>
  <c r="E36" i="28"/>
  <c r="A36" i="33"/>
  <c r="F37" i="34"/>
  <c r="A37" i="33"/>
  <c r="B38" i="34"/>
  <c r="A38" i="33"/>
  <c r="D39" i="28"/>
  <c r="A39" i="34"/>
  <c r="F39" i="32"/>
  <c r="D39" i="30"/>
  <c r="B40" i="30"/>
  <c r="A41" i="28"/>
  <c r="E41" i="35"/>
  <c r="E41" i="32"/>
  <c r="E40" i="31"/>
  <c r="D42" i="28"/>
  <c r="E42" i="32"/>
  <c r="A43" i="28"/>
  <c r="A43" i="35"/>
  <c r="B43" i="34"/>
  <c r="C42" i="29"/>
  <c r="B43" i="29"/>
  <c r="C45" i="28"/>
  <c r="F46" i="35"/>
  <c r="E46" i="32"/>
  <c r="C46" i="30"/>
  <c r="B45" i="29"/>
  <c r="D47" i="35"/>
  <c r="B47" i="34"/>
  <c r="E47" i="33"/>
  <c r="A47" i="30"/>
  <c r="F48" i="28"/>
  <c r="C48" i="34"/>
  <c r="D48" i="33"/>
  <c r="B48" i="32"/>
  <c r="F47" i="31"/>
  <c r="E48" i="30"/>
  <c r="C48" i="31"/>
  <c r="D48" i="29"/>
  <c r="E17" i="6"/>
  <c r="E18" i="6"/>
  <c r="F19" i="6"/>
  <c r="F18" i="6"/>
  <c r="C18" i="22"/>
  <c r="F17" i="6"/>
  <c r="B17" i="6"/>
  <c r="F18" i="24"/>
  <c r="F19" i="24"/>
  <c r="E18" i="24"/>
  <c r="B19" i="25"/>
  <c r="F75" i="25"/>
  <c r="C76" i="25"/>
  <c r="A21" i="25"/>
  <c r="B73" i="22"/>
  <c r="D24" i="24"/>
  <c r="B23" i="25"/>
  <c r="B76" i="22"/>
  <c r="A25" i="25"/>
  <c r="B18" i="24"/>
  <c r="B19" i="24"/>
  <c r="F72" i="24"/>
  <c r="D20" i="24"/>
  <c r="D21" i="24"/>
  <c r="K21" i="24" s="1"/>
  <c r="J21" i="24" s="1"/>
  <c r="B76" i="25"/>
  <c r="F20" i="25"/>
  <c r="D72" i="22"/>
  <c r="F72" i="22"/>
  <c r="A22" i="25"/>
  <c r="B25" i="24"/>
  <c r="E24" i="25"/>
  <c r="N24" i="25" s="1"/>
  <c r="E27" i="24"/>
  <c r="A26" i="25"/>
  <c r="A18" i="25"/>
  <c r="D18" i="24"/>
  <c r="B72" i="24"/>
  <c r="E19" i="25"/>
  <c r="B21" i="24"/>
  <c r="F76" i="25"/>
  <c r="A76" i="25"/>
  <c r="E24" i="24"/>
  <c r="N24" i="24" s="1"/>
  <c r="E25" i="24"/>
  <c r="N25" i="24" s="1"/>
  <c r="D26" i="24"/>
  <c r="F27" i="24"/>
  <c r="D72" i="24"/>
  <c r="C76" i="24"/>
  <c r="C23" i="25"/>
  <c r="F25" i="25"/>
  <c r="E33" i="24"/>
  <c r="N33" i="24" s="1"/>
  <c r="A34" i="24"/>
  <c r="D36" i="24"/>
  <c r="E38" i="24"/>
  <c r="N38" i="24" s="1"/>
  <c r="A42" i="24"/>
  <c r="E44" i="24"/>
  <c r="N44" i="24" s="1"/>
  <c r="B18" i="25"/>
  <c r="B74" i="24"/>
  <c r="A76" i="22"/>
  <c r="F36" i="24"/>
  <c r="F39" i="24"/>
  <c r="B40" i="24"/>
  <c r="C19" i="25"/>
  <c r="C22" i="24"/>
  <c r="D23" i="25"/>
  <c r="B31" i="24"/>
  <c r="D34" i="24"/>
  <c r="A35" i="24"/>
  <c r="B39" i="24"/>
  <c r="F20" i="24"/>
  <c r="A74" i="22"/>
  <c r="F29" i="24"/>
  <c r="A31" i="24"/>
  <c r="C35" i="24"/>
  <c r="E37" i="24"/>
  <c r="N37" i="24" s="1"/>
  <c r="B44" i="24"/>
  <c r="D45" i="24"/>
  <c r="E47" i="24"/>
  <c r="N47" i="24" s="1"/>
  <c r="A40" i="24"/>
  <c r="C42" i="24"/>
  <c r="B45" i="24"/>
  <c r="D47" i="24"/>
  <c r="B41" i="24"/>
  <c r="A46" i="24"/>
  <c r="C20" i="22"/>
  <c r="B18" i="22"/>
  <c r="C77" i="24"/>
  <c r="C77" i="25"/>
  <c r="B77" i="24"/>
  <c r="C22" i="22"/>
  <c r="F21" i="22"/>
  <c r="D22" i="22"/>
  <c r="B22" i="22"/>
  <c r="C27" i="22"/>
  <c r="A30" i="22"/>
  <c r="C34" i="22"/>
  <c r="F37" i="22"/>
  <c r="D40" i="22"/>
  <c r="B23" i="22"/>
  <c r="C26" i="22"/>
  <c r="B29" i="22"/>
  <c r="E32" i="22"/>
  <c r="A35" i="22"/>
  <c r="B39" i="22"/>
  <c r="B26" i="22"/>
  <c r="E31" i="22"/>
  <c r="A37" i="22"/>
  <c r="E23" i="22"/>
  <c r="F29" i="22"/>
  <c r="E34" i="22"/>
  <c r="E39" i="22"/>
  <c r="C31" i="22"/>
  <c r="E41" i="22"/>
  <c r="A25" i="22"/>
  <c r="C41" i="22"/>
  <c r="B24" i="22"/>
  <c r="C37" i="22"/>
  <c r="B27" i="22"/>
  <c r="A40" i="22"/>
  <c r="D21" i="6"/>
  <c r="G21" i="6" s="1"/>
  <c r="A21" i="6"/>
  <c r="D78" i="24"/>
  <c r="B78" i="24"/>
  <c r="E78" i="24"/>
  <c r="N78" i="24" s="1"/>
  <c r="A77" i="22"/>
  <c r="B78" i="22"/>
  <c r="F22" i="6"/>
  <c r="E78" i="22"/>
  <c r="I78" i="22" s="1"/>
  <c r="E23" i="6"/>
  <c r="A24" i="6"/>
  <c r="E25" i="6"/>
  <c r="B26" i="6"/>
  <c r="D26" i="6"/>
  <c r="G26" i="6" s="1"/>
  <c r="E28" i="6"/>
  <c r="E27" i="6"/>
  <c r="A30" i="6"/>
  <c r="D30" i="6"/>
  <c r="G30" i="6" s="1"/>
  <c r="B31" i="6"/>
  <c r="F32" i="6"/>
  <c r="D32" i="6"/>
  <c r="G32" i="6" s="1"/>
  <c r="F33" i="6"/>
  <c r="D34" i="6"/>
  <c r="G34" i="6" s="1"/>
  <c r="D72" i="6"/>
  <c r="C72" i="6"/>
  <c r="C73" i="6"/>
  <c r="D74" i="6"/>
  <c r="G74" i="6" s="1"/>
  <c r="H74" i="6" s="1"/>
  <c r="B74" i="6"/>
  <c r="C75" i="6"/>
  <c r="A76" i="6"/>
  <c r="C76" i="6"/>
  <c r="B77" i="6"/>
  <c r="F77" i="6"/>
  <c r="D47" i="31"/>
  <c r="D48" i="32"/>
  <c r="E48" i="34"/>
  <c r="D48" i="28"/>
  <c r="B46" i="29"/>
  <c r="D46" i="31"/>
  <c r="C47" i="33"/>
  <c r="F45" i="29"/>
  <c r="D44" i="29"/>
  <c r="D45" i="32"/>
  <c r="D45" i="35"/>
  <c r="B45" i="28"/>
  <c r="E44" i="30"/>
  <c r="E44" i="32"/>
  <c r="D44" i="33"/>
  <c r="B41" i="29"/>
  <c r="A42" i="34"/>
  <c r="A42" i="35"/>
  <c r="F41" i="32"/>
  <c r="A40" i="35"/>
  <c r="B38" i="29"/>
  <c r="C38" i="33"/>
  <c r="C38" i="35"/>
  <c r="B38" i="28"/>
  <c r="C37" i="30"/>
  <c r="F37" i="32"/>
  <c r="D37" i="34"/>
  <c r="D37" i="28"/>
  <c r="A35" i="29"/>
  <c r="F35" i="31"/>
  <c r="E35" i="35"/>
  <c r="A33" i="29"/>
  <c r="E34" i="30"/>
  <c r="F32" i="29"/>
  <c r="C33" i="30"/>
  <c r="E33" i="34"/>
  <c r="E33" i="28"/>
  <c r="A32" i="30"/>
  <c r="D32" i="33"/>
  <c r="F25" i="34"/>
  <c r="B77" i="28"/>
  <c r="C77" i="6"/>
  <c r="E76" i="6"/>
  <c r="E75" i="6"/>
  <c r="A73" i="6"/>
  <c r="B72" i="6"/>
  <c r="A34" i="6"/>
  <c r="B33" i="6"/>
  <c r="C32" i="6"/>
  <c r="C30" i="6"/>
  <c r="C29" i="6"/>
  <c r="B27" i="6"/>
  <c r="B28" i="6"/>
  <c r="A26" i="6"/>
  <c r="A25" i="6"/>
  <c r="B24" i="6"/>
  <c r="A78" i="22"/>
  <c r="B22" i="6"/>
  <c r="F77" i="22"/>
  <c r="D78" i="25"/>
  <c r="C78" i="25"/>
  <c r="C21" i="6"/>
  <c r="F27" i="22"/>
  <c r="F33" i="22"/>
  <c r="F30" i="22"/>
  <c r="E33" i="22"/>
  <c r="F36" i="22"/>
  <c r="C30" i="22"/>
  <c r="E24" i="22"/>
  <c r="A38" i="22"/>
  <c r="A32" i="22"/>
  <c r="F24" i="22"/>
  <c r="A21" i="22"/>
  <c r="B20" i="6"/>
  <c r="F77" i="24"/>
  <c r="D77" i="24"/>
  <c r="A47" i="24"/>
  <c r="D43" i="24"/>
  <c r="F46" i="24"/>
  <c r="C37" i="24"/>
  <c r="C32" i="24"/>
  <c r="B30" i="24"/>
  <c r="A21" i="24"/>
  <c r="D39" i="24"/>
  <c r="F30" i="24"/>
  <c r="E76" i="24"/>
  <c r="N76" i="24" s="1"/>
  <c r="F44" i="24"/>
  <c r="B36" i="24"/>
  <c r="D33" i="24"/>
  <c r="A23" i="25"/>
  <c r="C74" i="25"/>
  <c r="F42" i="24"/>
  <c r="E40" i="24"/>
  <c r="F37" i="24"/>
  <c r="B34" i="24"/>
  <c r="C25" i="24"/>
  <c r="E19" i="24"/>
  <c r="E25" i="25"/>
  <c r="N25" i="25" s="1"/>
  <c r="C75" i="22"/>
  <c r="C24" i="24"/>
  <c r="D20" i="25"/>
  <c r="E21" i="24"/>
  <c r="N21" i="24" s="1"/>
  <c r="F73" i="24"/>
  <c r="A74" i="25"/>
  <c r="F75" i="22"/>
  <c r="F22" i="25"/>
  <c r="F23" i="24"/>
  <c r="A76" i="24"/>
  <c r="B75" i="24"/>
  <c r="C73" i="25"/>
  <c r="E74" i="25"/>
  <c r="N74" i="25" s="1"/>
  <c r="C28" i="24"/>
  <c r="A75" i="22"/>
  <c r="E22" i="25"/>
  <c r="E20" i="25"/>
  <c r="A75" i="25"/>
  <c r="A73" i="25"/>
  <c r="A20" i="22"/>
  <c r="E19" i="6"/>
  <c r="E18" i="22"/>
  <c r="D20" i="22"/>
  <c r="A48" i="29"/>
  <c r="A47" i="29"/>
  <c r="B48" i="33"/>
  <c r="B48" i="34"/>
  <c r="A45" i="33"/>
  <c r="C45" i="34"/>
  <c r="C44" i="34"/>
  <c r="C44" i="28"/>
  <c r="E43" i="30"/>
  <c r="C42" i="31"/>
  <c r="B39" i="29"/>
  <c r="A40" i="32"/>
  <c r="C40" i="33"/>
  <c r="A38" i="31"/>
  <c r="F39" i="33"/>
  <c r="D38" i="30"/>
  <c r="F37" i="31"/>
  <c r="B36" i="29"/>
  <c r="F36" i="30"/>
  <c r="C36" i="32"/>
  <c r="B36" i="34"/>
  <c r="C35" i="30"/>
  <c r="C35" i="32"/>
  <c r="D35" i="33"/>
  <c r="F33" i="31"/>
  <c r="C34" i="32"/>
  <c r="A32" i="31"/>
  <c r="D31" i="35"/>
  <c r="A31" i="28"/>
  <c r="A29" i="31"/>
  <c r="A30" i="32"/>
  <c r="A29" i="32"/>
  <c r="F29" i="34"/>
  <c r="D29" i="35"/>
  <c r="B20" i="24"/>
  <c r="E73" i="24"/>
  <c r="D30" i="24"/>
  <c r="C27" i="24"/>
  <c r="E23" i="25"/>
  <c r="N23" i="25" s="1"/>
  <c r="C21" i="25"/>
  <c r="B22" i="24"/>
  <c r="A20" i="24"/>
  <c r="D18" i="25"/>
  <c r="C19" i="22"/>
  <c r="D17" i="6"/>
  <c r="A19" i="22"/>
  <c r="D20" i="6"/>
  <c r="G20" i="6" s="1"/>
  <c r="B20" i="22"/>
  <c r="C48" i="32"/>
  <c r="C46" i="29"/>
  <c r="C47" i="30"/>
  <c r="D47" i="33"/>
  <c r="C45" i="29"/>
  <c r="C45" i="31"/>
  <c r="B46" i="33"/>
  <c r="E44" i="31"/>
  <c r="B45" i="35"/>
  <c r="B44" i="33"/>
  <c r="A43" i="32"/>
  <c r="F41" i="29"/>
  <c r="D40" i="29"/>
  <c r="A41" i="30"/>
  <c r="B41" i="32"/>
  <c r="F40" i="34"/>
  <c r="D40" i="35"/>
  <c r="C40" i="28"/>
  <c r="C38" i="29"/>
  <c r="B38" i="32"/>
  <c r="A38" i="35"/>
  <c r="A38" i="28"/>
  <c r="C37" i="32"/>
  <c r="B37" i="35"/>
  <c r="E35" i="31"/>
  <c r="A34" i="33"/>
  <c r="B33" i="30"/>
  <c r="E33" i="33"/>
  <c r="F32" i="33"/>
  <c r="C25" i="34"/>
  <c r="D75" i="22"/>
  <c r="K75" i="22" s="1"/>
  <c r="A75" i="6"/>
  <c r="F74" i="6"/>
  <c r="D73" i="6"/>
  <c r="G73" i="6" s="1"/>
  <c r="A72" i="6"/>
  <c r="A31" i="6"/>
  <c r="D29" i="6"/>
  <c r="G29" i="6" s="1"/>
  <c r="F27" i="6"/>
  <c r="F26" i="6"/>
  <c r="C23" i="6"/>
  <c r="D22" i="6"/>
  <c r="G22" i="6" s="1"/>
  <c r="E77" i="22"/>
  <c r="B78" i="25"/>
  <c r="N75" i="22"/>
  <c r="F21" i="6"/>
  <c r="C24" i="22"/>
  <c r="F40" i="22"/>
  <c r="A31" i="22"/>
  <c r="A23" i="22"/>
  <c r="C35" i="22"/>
  <c r="B25" i="22"/>
  <c r="B38" i="22"/>
  <c r="A27" i="22"/>
  <c r="B40" i="22"/>
  <c r="F32" i="22"/>
  <c r="E27" i="22"/>
  <c r="B41" i="22"/>
  <c r="F35" i="22"/>
  <c r="B28" i="22"/>
  <c r="F22" i="22"/>
  <c r="E22" i="22"/>
  <c r="C78" i="24"/>
  <c r="F77" i="25"/>
  <c r="A18" i="6"/>
  <c r="A43" i="24"/>
  <c r="C45" i="24"/>
  <c r="B46" i="24"/>
  <c r="F38" i="24"/>
  <c r="C31" i="24"/>
  <c r="C26" i="24"/>
  <c r="C72" i="24"/>
  <c r="A32" i="24"/>
  <c r="D24" i="25"/>
  <c r="E73" i="25"/>
  <c r="C40" i="24"/>
  <c r="D38" i="24"/>
  <c r="E35" i="24"/>
  <c r="N35" i="24" s="1"/>
  <c r="E32" i="24"/>
  <c r="N32" i="24" s="1"/>
  <c r="F28" i="24"/>
  <c r="E76" i="25"/>
  <c r="N76" i="25" s="1"/>
  <c r="C38" i="24"/>
  <c r="A33" i="24"/>
  <c r="E28" i="24"/>
  <c r="N28" i="24" s="1"/>
  <c r="A22" i="24"/>
  <c r="C24" i="25"/>
  <c r="C74" i="22"/>
  <c r="C72" i="22"/>
  <c r="D74" i="24"/>
  <c r="E18" i="25"/>
  <c r="D74" i="25"/>
  <c r="C30" i="24"/>
  <c r="A27" i="24"/>
  <c r="D25" i="24"/>
  <c r="A73" i="22"/>
  <c r="B76" i="24"/>
  <c r="F19" i="25"/>
  <c r="C18" i="24"/>
  <c r="E72" i="25"/>
  <c r="D29" i="24"/>
  <c r="B25" i="25"/>
  <c r="D73" i="22"/>
  <c r="B23" i="24"/>
  <c r="F75" i="24"/>
  <c r="E20" i="24"/>
  <c r="A18" i="24"/>
  <c r="F20" i="22"/>
  <c r="B19" i="22"/>
  <c r="A18" i="22"/>
  <c r="D19" i="6"/>
  <c r="H52" i="5"/>
  <c r="F48" i="31"/>
  <c r="C47" i="29"/>
  <c r="F48" i="30"/>
  <c r="D47" i="28"/>
  <c r="B46" i="30"/>
  <c r="F46" i="28"/>
  <c r="C45" i="30"/>
  <c r="B45" i="34"/>
  <c r="D44" i="35"/>
  <c r="E41" i="31"/>
  <c r="D41" i="33"/>
  <c r="F39" i="31"/>
  <c r="F40" i="33"/>
  <c r="A39" i="30"/>
  <c r="D39" i="32"/>
  <c r="A37" i="31"/>
  <c r="D36" i="30"/>
  <c r="F36" i="32"/>
  <c r="B36" i="33"/>
  <c r="A36" i="35"/>
  <c r="B35" i="33"/>
  <c r="D35" i="34"/>
  <c r="C33" i="31"/>
  <c r="F34" i="35"/>
  <c r="E33" i="32"/>
  <c r="F31" i="28"/>
  <c r="F28" i="31"/>
  <c r="C29" i="34"/>
  <c r="A27" i="30"/>
  <c r="C23" i="31"/>
  <c r="B77" i="33"/>
  <c r="C19" i="46"/>
  <c r="C9" i="16"/>
  <c r="C10" i="16"/>
  <c r="C10" i="12"/>
  <c r="C9" i="20"/>
  <c r="K12" i="18"/>
  <c r="K12" i="14"/>
  <c r="K9" i="20"/>
  <c r="K9" i="53"/>
  <c r="K9" i="55"/>
  <c r="K9" i="48"/>
  <c r="K9" i="3"/>
  <c r="K9" i="12"/>
  <c r="K9" i="54"/>
  <c r="K14" i="48"/>
  <c r="K14" i="55"/>
  <c r="K14" i="54"/>
  <c r="K14" i="53"/>
  <c r="K14" i="46"/>
  <c r="K14" i="13"/>
  <c r="K14" i="15"/>
  <c r="K14" i="45"/>
  <c r="K14" i="19"/>
  <c r="K14" i="17"/>
  <c r="K14" i="3"/>
  <c r="K14" i="10"/>
  <c r="K14" i="16"/>
  <c r="K14" i="18"/>
  <c r="K12" i="12"/>
  <c r="K12" i="17"/>
  <c r="K12" i="19"/>
  <c r="K12" i="3"/>
  <c r="K12" i="10"/>
  <c r="K12" i="53"/>
  <c r="K12" i="48"/>
  <c r="K12" i="54"/>
  <c r="K12" i="55"/>
  <c r="K12" i="45"/>
  <c r="K12" i="46"/>
  <c r="K12" i="15"/>
  <c r="K12" i="13"/>
  <c r="K12" i="20"/>
  <c r="C10" i="19"/>
  <c r="C9" i="19"/>
  <c r="K9" i="19"/>
  <c r="K9" i="46"/>
  <c r="C9" i="46"/>
  <c r="C10" i="46"/>
  <c r="C10" i="18"/>
  <c r="C9" i="18"/>
  <c r="K9" i="18"/>
  <c r="C10" i="10"/>
  <c r="C9" i="10"/>
  <c r="K9" i="10"/>
  <c r="C10" i="13"/>
  <c r="C9" i="13"/>
  <c r="K9" i="13"/>
  <c r="C10" i="45"/>
  <c r="K9" i="45"/>
  <c r="C9" i="45"/>
  <c r="C10" i="14"/>
  <c r="K9" i="14"/>
  <c r="C9" i="14"/>
  <c r="C10" i="17"/>
  <c r="K9" i="17"/>
  <c r="C9" i="17"/>
  <c r="C9" i="3"/>
  <c r="C9" i="15"/>
  <c r="K9" i="16"/>
  <c r="K9" i="15"/>
  <c r="K314" i="56"/>
  <c r="K21" i="56" s="1"/>
  <c r="K23" i="56" s="1"/>
  <c r="H314" i="56"/>
  <c r="H21" i="56" s="1"/>
  <c r="H23" i="56" s="1"/>
  <c r="N314" i="56"/>
  <c r="N21" i="56" s="1"/>
  <c r="N22" i="56" s="1"/>
  <c r="N78" i="22"/>
  <c r="M66" i="1"/>
  <c r="M68" i="1" s="1"/>
  <c r="E132" i="1" s="1"/>
  <c r="J13" i="29" s="1"/>
  <c r="A24" i="16"/>
  <c r="A24" i="19"/>
  <c r="A29" i="53"/>
  <c r="A24" i="17"/>
  <c r="A29" i="48"/>
  <c r="A29" i="54"/>
  <c r="A24" i="15"/>
  <c r="A24" i="10"/>
  <c r="A24" i="18"/>
  <c r="A24" i="14"/>
  <c r="A29" i="46"/>
  <c r="A29" i="55"/>
  <c r="A24" i="13"/>
  <c r="A24" i="12"/>
  <c r="A29" i="20"/>
  <c r="N38" i="22" l="1"/>
  <c r="L75" i="22"/>
  <c r="M35" i="6"/>
  <c r="B34" i="6"/>
  <c r="E48" i="33"/>
  <c r="F48" i="29"/>
  <c r="C33" i="6"/>
  <c r="A48" i="32"/>
  <c r="C26" i="25"/>
  <c r="C34" i="6"/>
  <c r="H28" i="6"/>
  <c r="A48" i="35"/>
  <c r="A33" i="6"/>
  <c r="A48" i="31"/>
  <c r="E48" i="28"/>
  <c r="B48" i="31"/>
  <c r="D48" i="30"/>
  <c r="F48" i="33"/>
  <c r="C48" i="35"/>
  <c r="E48" i="32"/>
  <c r="D48" i="35"/>
  <c r="E32" i="6"/>
  <c r="J32" i="6" s="1"/>
  <c r="F113" i="35"/>
  <c r="O48" i="24"/>
  <c r="F47" i="24"/>
  <c r="O42" i="22"/>
  <c r="F41" i="22"/>
  <c r="O27" i="25"/>
  <c r="F26" i="25"/>
  <c r="A48" i="33"/>
  <c r="A48" i="28"/>
  <c r="D48" i="31"/>
  <c r="A48" i="30"/>
  <c r="A48" i="34"/>
  <c r="C48" i="28"/>
  <c r="L31" i="6"/>
  <c r="B32" i="6"/>
  <c r="B26" i="25"/>
  <c r="H30" i="6"/>
  <c r="H77" i="6"/>
  <c r="J30" i="6"/>
  <c r="L77" i="6"/>
  <c r="J22" i="6"/>
  <c r="H33" i="6"/>
  <c r="H22" i="6"/>
  <c r="H29" i="6"/>
  <c r="I36" i="22"/>
  <c r="L29" i="22"/>
  <c r="I76" i="22"/>
  <c r="H75" i="6"/>
  <c r="I21" i="24"/>
  <c r="J33" i="6"/>
  <c r="L30" i="22"/>
  <c r="A24" i="45"/>
  <c r="H24" i="24"/>
  <c r="G24" i="24" s="1"/>
  <c r="H73" i="6"/>
  <c r="I25" i="22"/>
  <c r="N82" i="24"/>
  <c r="N83" i="24" s="1"/>
  <c r="N84" i="24" s="1"/>
  <c r="N86" i="24" s="1"/>
  <c r="N90" i="24" s="1"/>
  <c r="H30" i="24"/>
  <c r="G30" i="24" s="1"/>
  <c r="N30" i="22"/>
  <c r="I30" i="22"/>
  <c r="H75" i="24"/>
  <c r="K75" i="24" s="1"/>
  <c r="I35" i="22"/>
  <c r="H34" i="6"/>
  <c r="L36" i="22"/>
  <c r="L78" i="22"/>
  <c r="N21" i="22"/>
  <c r="L74" i="22"/>
  <c r="H74" i="24"/>
  <c r="I74" i="24" s="1"/>
  <c r="F81" i="6"/>
  <c r="F82" i="6" s="1"/>
  <c r="F83" i="6" s="1"/>
  <c r="F85" i="6" s="1"/>
  <c r="F89" i="6" s="1"/>
  <c r="H36" i="24"/>
  <c r="G36" i="24" s="1"/>
  <c r="H23" i="6"/>
  <c r="H20" i="6"/>
  <c r="F81" i="33"/>
  <c r="F82" i="33" s="1"/>
  <c r="F83" i="33" s="1"/>
  <c r="F85" i="33" s="1"/>
  <c r="F89" i="33" s="1"/>
  <c r="F81" i="32"/>
  <c r="F82" i="32" s="1"/>
  <c r="F83" i="32" s="1"/>
  <c r="J25" i="6"/>
  <c r="L25" i="6"/>
  <c r="N39" i="22"/>
  <c r="I39" i="22"/>
  <c r="H45" i="29"/>
  <c r="L45" i="29"/>
  <c r="J45" i="29"/>
  <c r="H35" i="33"/>
  <c r="L35" i="33"/>
  <c r="J35" i="33"/>
  <c r="L28" i="33"/>
  <c r="H28" i="33"/>
  <c r="J28" i="33"/>
  <c r="L44" i="33"/>
  <c r="J44" i="33"/>
  <c r="H44" i="33"/>
  <c r="J40" i="33"/>
  <c r="L40" i="33"/>
  <c r="H40" i="33"/>
  <c r="L30" i="29"/>
  <c r="J30" i="29"/>
  <c r="H30" i="29"/>
  <c r="H46" i="29"/>
  <c r="L46" i="29"/>
  <c r="J46" i="29"/>
  <c r="H47" i="35"/>
  <c r="J47" i="35"/>
  <c r="H46" i="33"/>
  <c r="J46" i="33"/>
  <c r="L46" i="33"/>
  <c r="H41" i="30"/>
  <c r="L41" i="30"/>
  <c r="J41" i="30"/>
  <c r="L36" i="33"/>
  <c r="J36" i="33"/>
  <c r="H36" i="33"/>
  <c r="L34" i="31"/>
  <c r="J34" i="31"/>
  <c r="H34" i="31"/>
  <c r="J42" i="35"/>
  <c r="H42" i="35"/>
  <c r="L42" i="35"/>
  <c r="H40" i="34"/>
  <c r="J40" i="34"/>
  <c r="L40" i="34"/>
  <c r="H38" i="31"/>
  <c r="J38" i="31"/>
  <c r="L38" i="31"/>
  <c r="L35" i="32"/>
  <c r="H35" i="32"/>
  <c r="J35" i="32"/>
  <c r="L24" i="30"/>
  <c r="J24" i="30"/>
  <c r="H24" i="30"/>
  <c r="H24" i="33"/>
  <c r="L24" i="33"/>
  <c r="J24" i="33"/>
  <c r="J76" i="31"/>
  <c r="L76" i="31"/>
  <c r="H76" i="31"/>
  <c r="L76" i="22"/>
  <c r="H76" i="24"/>
  <c r="K76" i="24" s="1"/>
  <c r="H41" i="31"/>
  <c r="L41" i="31"/>
  <c r="J41" i="31"/>
  <c r="J43" i="30"/>
  <c r="H43" i="30"/>
  <c r="L43" i="30"/>
  <c r="J76" i="6"/>
  <c r="L76" i="6"/>
  <c r="L33" i="34"/>
  <c r="J33" i="34"/>
  <c r="H33" i="34"/>
  <c r="L46" i="32"/>
  <c r="J46" i="32"/>
  <c r="H46" i="32"/>
  <c r="H42" i="32"/>
  <c r="J42" i="32"/>
  <c r="L42" i="32"/>
  <c r="H41" i="35"/>
  <c r="L41" i="35"/>
  <c r="J41" i="35"/>
  <c r="J36" i="28"/>
  <c r="H36" i="28"/>
  <c r="L36" i="28"/>
  <c r="L73" i="6"/>
  <c r="J73" i="6"/>
  <c r="J73" i="30"/>
  <c r="L73" i="30"/>
  <c r="L81" i="30" s="1"/>
  <c r="H73" i="30"/>
  <c r="H20" i="34"/>
  <c r="J20" i="34"/>
  <c r="L20" i="34"/>
  <c r="L64" i="34" s="1"/>
  <c r="H31" i="24"/>
  <c r="J31" i="22"/>
  <c r="L31" i="22"/>
  <c r="I77" i="22"/>
  <c r="N77" i="22"/>
  <c r="J27" i="6"/>
  <c r="L27" i="6"/>
  <c r="I31" i="22"/>
  <c r="N31" i="22"/>
  <c r="H37" i="35"/>
  <c r="L37" i="35"/>
  <c r="J37" i="35"/>
  <c r="J28" i="34"/>
  <c r="L28" i="34"/>
  <c r="H28" i="34"/>
  <c r="J46" i="30"/>
  <c r="L46" i="30"/>
  <c r="H46" i="30"/>
  <c r="H40" i="28"/>
  <c r="J40" i="28"/>
  <c r="L40" i="28"/>
  <c r="L35" i="29"/>
  <c r="J35" i="29"/>
  <c r="H35" i="29"/>
  <c r="L34" i="32"/>
  <c r="J34" i="32"/>
  <c r="H34" i="32"/>
  <c r="J32" i="29"/>
  <c r="H32" i="29"/>
  <c r="L32" i="29"/>
  <c r="H46" i="31"/>
  <c r="L46" i="31"/>
  <c r="J46" i="31"/>
  <c r="L47" i="28"/>
  <c r="J47" i="28"/>
  <c r="H47" i="28"/>
  <c r="J45" i="30"/>
  <c r="L45" i="30"/>
  <c r="H45" i="30"/>
  <c r="L43" i="29"/>
  <c r="J43" i="29"/>
  <c r="H43" i="29"/>
  <c r="L44" i="35"/>
  <c r="H44" i="35"/>
  <c r="J44" i="35"/>
  <c r="H38" i="32"/>
  <c r="J38" i="32"/>
  <c r="L38" i="32"/>
  <c r="H37" i="30"/>
  <c r="J37" i="30"/>
  <c r="L37" i="30"/>
  <c r="J37" i="28"/>
  <c r="H37" i="28"/>
  <c r="L37" i="28"/>
  <c r="L34" i="34"/>
  <c r="J34" i="34"/>
  <c r="H34" i="34"/>
  <c r="L32" i="31"/>
  <c r="J32" i="31"/>
  <c r="H32" i="31"/>
  <c r="L30" i="34"/>
  <c r="J30" i="34"/>
  <c r="H30" i="34"/>
  <c r="L24" i="31"/>
  <c r="J24" i="31"/>
  <c r="H24" i="31"/>
  <c r="L77" i="32"/>
  <c r="H77" i="32"/>
  <c r="J77" i="32"/>
  <c r="J75" i="30"/>
  <c r="H75" i="30"/>
  <c r="L75" i="30"/>
  <c r="H27" i="30"/>
  <c r="L27" i="30"/>
  <c r="J27" i="30"/>
  <c r="J23" i="31"/>
  <c r="H23" i="31"/>
  <c r="L23" i="31"/>
  <c r="J22" i="32"/>
  <c r="H22" i="32"/>
  <c r="L22" i="32"/>
  <c r="L25" i="31"/>
  <c r="J25" i="31"/>
  <c r="H25" i="31"/>
  <c r="J75" i="31"/>
  <c r="L75" i="31"/>
  <c r="H75" i="31"/>
  <c r="L28" i="6"/>
  <c r="J28" i="6"/>
  <c r="N34" i="22"/>
  <c r="I34" i="22"/>
  <c r="L47" i="35"/>
  <c r="H33" i="32"/>
  <c r="J33" i="32"/>
  <c r="L33" i="32"/>
  <c r="N82" i="25"/>
  <c r="N83" i="25" s="1"/>
  <c r="N84" i="25" s="1"/>
  <c r="N86" i="25" s="1"/>
  <c r="N90" i="25" s="1"/>
  <c r="L35" i="35"/>
  <c r="H35" i="35"/>
  <c r="J35" i="35"/>
  <c r="F82" i="25"/>
  <c r="F83" i="25" s="1"/>
  <c r="F84" i="25" s="1"/>
  <c r="L42" i="30"/>
  <c r="H42" i="30"/>
  <c r="J42" i="30"/>
  <c r="H35" i="28"/>
  <c r="L35" i="28"/>
  <c r="J35" i="28"/>
  <c r="H76" i="32"/>
  <c r="J76" i="32"/>
  <c r="L76" i="32"/>
  <c r="H20" i="31"/>
  <c r="L20" i="31"/>
  <c r="L64" i="31" s="1"/>
  <c r="J20" i="31"/>
  <c r="J37" i="22"/>
  <c r="H37" i="24"/>
  <c r="L37" i="22"/>
  <c r="J23" i="30"/>
  <c r="L23" i="30"/>
  <c r="H23" i="30"/>
  <c r="J23" i="34"/>
  <c r="L23" i="34"/>
  <c r="H23" i="34"/>
  <c r="J75" i="28"/>
  <c r="H75" i="28"/>
  <c r="L75" i="28"/>
  <c r="J74" i="34"/>
  <c r="H74" i="34"/>
  <c r="L74" i="34"/>
  <c r="J34" i="22"/>
  <c r="H34" i="24"/>
  <c r="G34" i="24" s="1"/>
  <c r="L34" i="22"/>
  <c r="J74" i="31"/>
  <c r="H74" i="31"/>
  <c r="L74" i="31"/>
  <c r="J28" i="22"/>
  <c r="L28" i="22"/>
  <c r="H28" i="24"/>
  <c r="G28" i="24" s="1"/>
  <c r="L76" i="33"/>
  <c r="J76" i="33"/>
  <c r="H76" i="33"/>
  <c r="H25" i="6"/>
  <c r="J33" i="31"/>
  <c r="L33" i="31"/>
  <c r="H33" i="31"/>
  <c r="L45" i="31"/>
  <c r="H45" i="31"/>
  <c r="J45" i="31"/>
  <c r="J44" i="34"/>
  <c r="L44" i="34"/>
  <c r="H44" i="34"/>
  <c r="J41" i="34"/>
  <c r="H41" i="34"/>
  <c r="L41" i="34"/>
  <c r="H45" i="32"/>
  <c r="L45" i="32"/>
  <c r="J45" i="32"/>
  <c r="L47" i="30"/>
  <c r="H47" i="30"/>
  <c r="J47" i="30"/>
  <c r="L32" i="28"/>
  <c r="H32" i="28"/>
  <c r="J32" i="28"/>
  <c r="H77" i="29"/>
  <c r="J77" i="29"/>
  <c r="L77" i="29"/>
  <c r="J43" i="33"/>
  <c r="L43" i="33"/>
  <c r="H43" i="33"/>
  <c r="J41" i="29"/>
  <c r="L41" i="29"/>
  <c r="H41" i="29"/>
  <c r="L37" i="31"/>
  <c r="H37" i="31"/>
  <c r="J37" i="31"/>
  <c r="J38" i="35"/>
  <c r="H38" i="35"/>
  <c r="H37" i="33"/>
  <c r="J37" i="33"/>
  <c r="L37" i="33"/>
  <c r="H32" i="33"/>
  <c r="L32" i="33"/>
  <c r="J32" i="33"/>
  <c r="H29" i="29"/>
  <c r="L29" i="29"/>
  <c r="J29" i="29"/>
  <c r="J28" i="29"/>
  <c r="L28" i="29"/>
  <c r="H28" i="29"/>
  <c r="J25" i="30"/>
  <c r="H25" i="30"/>
  <c r="L25" i="30"/>
  <c r="H30" i="31"/>
  <c r="J30" i="31"/>
  <c r="L30" i="31"/>
  <c r="H31" i="28"/>
  <c r="J31" i="28"/>
  <c r="L31" i="28"/>
  <c r="H32" i="32"/>
  <c r="L32" i="32"/>
  <c r="J32" i="32"/>
  <c r="L28" i="28"/>
  <c r="H28" i="28"/>
  <c r="J28" i="28"/>
  <c r="H24" i="32"/>
  <c r="L24" i="32"/>
  <c r="J24" i="32"/>
  <c r="H27" i="35"/>
  <c r="L27" i="35"/>
  <c r="J27" i="35"/>
  <c r="J24" i="29"/>
  <c r="H24" i="29"/>
  <c r="L24" i="29"/>
  <c r="J42" i="5"/>
  <c r="J43" i="5" s="1"/>
  <c r="J44" i="5" s="1"/>
  <c r="J45" i="5" s="1"/>
  <c r="J46" i="5" s="1"/>
  <c r="J47" i="5" s="1"/>
  <c r="J48" i="5" s="1"/>
  <c r="J49" i="5" s="1"/>
  <c r="H76" i="30"/>
  <c r="L76" i="30"/>
  <c r="J76" i="30"/>
  <c r="H77" i="35"/>
  <c r="J77" i="35"/>
  <c r="H23" i="32"/>
  <c r="J23" i="32"/>
  <c r="L23" i="32"/>
  <c r="H22" i="30"/>
  <c r="J22" i="30"/>
  <c r="L22" i="30"/>
  <c r="J23" i="22"/>
  <c r="L23" i="22"/>
  <c r="L73" i="33"/>
  <c r="L81" i="33" s="1"/>
  <c r="H73" i="33"/>
  <c r="J73" i="33"/>
  <c r="J25" i="22"/>
  <c r="L25" i="22"/>
  <c r="F81" i="31"/>
  <c r="H41" i="24"/>
  <c r="G41" i="24" s="1"/>
  <c r="I29" i="22"/>
  <c r="L24" i="22"/>
  <c r="F49" i="35"/>
  <c r="H53" i="5"/>
  <c r="H55" i="5"/>
  <c r="H54" i="5"/>
  <c r="H35" i="31"/>
  <c r="L35" i="31"/>
  <c r="J35" i="31"/>
  <c r="E49" i="28"/>
  <c r="N33" i="22"/>
  <c r="I33" i="22"/>
  <c r="J44" i="32"/>
  <c r="L44" i="32"/>
  <c r="H44" i="32"/>
  <c r="J23" i="6"/>
  <c r="L23" i="6"/>
  <c r="L40" i="31"/>
  <c r="J40" i="31"/>
  <c r="H40" i="31"/>
  <c r="J32" i="35"/>
  <c r="H32" i="35"/>
  <c r="L32" i="35"/>
  <c r="L24" i="28"/>
  <c r="H24" i="28"/>
  <c r="J24" i="28"/>
  <c r="L77" i="34"/>
  <c r="H77" i="34"/>
  <c r="J77" i="34"/>
  <c r="J29" i="6"/>
  <c r="L29" i="6"/>
  <c r="N37" i="22"/>
  <c r="I37" i="22"/>
  <c r="F82" i="24"/>
  <c r="F82" i="22"/>
  <c r="F83" i="22" s="1"/>
  <c r="F84" i="22" s="1"/>
  <c r="F86" i="22" s="1"/>
  <c r="F90" i="22" s="1"/>
  <c r="F49" i="29"/>
  <c r="F49" i="32"/>
  <c r="H47" i="31"/>
  <c r="J47" i="31"/>
  <c r="L47" i="31"/>
  <c r="J46" i="35"/>
  <c r="H46" i="35"/>
  <c r="L43" i="34"/>
  <c r="H43" i="34"/>
  <c r="J43" i="34"/>
  <c r="J36" i="31"/>
  <c r="H36" i="31"/>
  <c r="L36" i="31"/>
  <c r="F49" i="31"/>
  <c r="C49" i="35"/>
  <c r="L47" i="34"/>
  <c r="H47" i="34"/>
  <c r="J47" i="34"/>
  <c r="L44" i="29"/>
  <c r="H44" i="29"/>
  <c r="J44" i="29"/>
  <c r="J42" i="33"/>
  <c r="L42" i="33"/>
  <c r="H42" i="33"/>
  <c r="J31" i="34"/>
  <c r="L31" i="34"/>
  <c r="H31" i="34"/>
  <c r="E49" i="30"/>
  <c r="H46" i="28"/>
  <c r="L46" i="28"/>
  <c r="J46" i="28"/>
  <c r="H38" i="34"/>
  <c r="L38" i="34"/>
  <c r="J38" i="34"/>
  <c r="L36" i="30"/>
  <c r="J36" i="30"/>
  <c r="H36" i="30"/>
  <c r="H30" i="28"/>
  <c r="J30" i="28"/>
  <c r="L30" i="28"/>
  <c r="L46" i="34"/>
  <c r="J46" i="34"/>
  <c r="H46" i="34"/>
  <c r="J43" i="28"/>
  <c r="L43" i="28"/>
  <c r="H43" i="28"/>
  <c r="J40" i="29"/>
  <c r="L40" i="29"/>
  <c r="H40" i="29"/>
  <c r="J40" i="32"/>
  <c r="L40" i="32"/>
  <c r="H40" i="32"/>
  <c r="H38" i="28"/>
  <c r="J38" i="28"/>
  <c r="L38" i="28"/>
  <c r="J35" i="30"/>
  <c r="L35" i="30"/>
  <c r="H35" i="30"/>
  <c r="H28" i="32"/>
  <c r="L28" i="32"/>
  <c r="J28" i="32"/>
  <c r="L45" i="35"/>
  <c r="J45" i="35"/>
  <c r="H45" i="35"/>
  <c r="J42" i="34"/>
  <c r="L42" i="34"/>
  <c r="H42" i="34"/>
  <c r="J36" i="34"/>
  <c r="L36" i="34"/>
  <c r="H36" i="34"/>
  <c r="H34" i="33"/>
  <c r="J34" i="33"/>
  <c r="L34" i="33"/>
  <c r="H31" i="29"/>
  <c r="J31" i="29"/>
  <c r="L31" i="29"/>
  <c r="J29" i="34"/>
  <c r="H29" i="34"/>
  <c r="L29" i="34"/>
  <c r="J31" i="32"/>
  <c r="H31" i="32"/>
  <c r="L31" i="32"/>
  <c r="H30" i="30"/>
  <c r="J30" i="30"/>
  <c r="L30" i="30"/>
  <c r="J30" i="35"/>
  <c r="L30" i="35"/>
  <c r="H30" i="35"/>
  <c r="L28" i="30"/>
  <c r="J28" i="30"/>
  <c r="H28" i="30"/>
  <c r="H27" i="32"/>
  <c r="L27" i="32"/>
  <c r="J27" i="32"/>
  <c r="H25" i="34"/>
  <c r="J25" i="34"/>
  <c r="L25" i="34"/>
  <c r="J23" i="33"/>
  <c r="H23" i="33"/>
  <c r="L23" i="33"/>
  <c r="J75" i="34"/>
  <c r="H75" i="34"/>
  <c r="L75" i="34"/>
  <c r="H29" i="32"/>
  <c r="L29" i="32"/>
  <c r="J29" i="32"/>
  <c r="L74" i="33"/>
  <c r="J74" i="33"/>
  <c r="H74" i="33"/>
  <c r="H27" i="31"/>
  <c r="J27" i="31"/>
  <c r="L27" i="31"/>
  <c r="J27" i="28"/>
  <c r="H27" i="28"/>
  <c r="L27" i="28"/>
  <c r="H29" i="24"/>
  <c r="J29" i="22"/>
  <c r="J25" i="32"/>
  <c r="L25" i="32"/>
  <c r="H25" i="32"/>
  <c r="J76" i="29"/>
  <c r="L76" i="29"/>
  <c r="H76" i="29"/>
  <c r="L75" i="29"/>
  <c r="H75" i="29"/>
  <c r="J75" i="29"/>
  <c r="H20" i="32"/>
  <c r="L20" i="32"/>
  <c r="L64" i="32" s="1"/>
  <c r="J20" i="32"/>
  <c r="L73" i="35"/>
  <c r="J73" i="35"/>
  <c r="H73" i="35"/>
  <c r="J22" i="34"/>
  <c r="L22" i="34"/>
  <c r="H22" i="34"/>
  <c r="J74" i="30"/>
  <c r="H74" i="30"/>
  <c r="L74" i="30"/>
  <c r="H22" i="31"/>
  <c r="J22" i="31"/>
  <c r="L22" i="31"/>
  <c r="J75" i="32"/>
  <c r="H75" i="32"/>
  <c r="L75" i="32"/>
  <c r="L22" i="28"/>
  <c r="J22" i="28"/>
  <c r="H22" i="28"/>
  <c r="J74" i="35"/>
  <c r="H74" i="35"/>
  <c r="J75" i="35"/>
  <c r="L75" i="35"/>
  <c r="H75" i="35"/>
  <c r="H20" i="28"/>
  <c r="L20" i="28"/>
  <c r="L64" i="28" s="1"/>
  <c r="J20" i="28"/>
  <c r="H73" i="28"/>
  <c r="L73" i="28"/>
  <c r="L81" i="28" s="1"/>
  <c r="J73" i="28"/>
  <c r="H39" i="24"/>
  <c r="J39" i="22"/>
  <c r="L39" i="22"/>
  <c r="F81" i="35"/>
  <c r="J38" i="22"/>
  <c r="L38" i="22"/>
  <c r="L77" i="22"/>
  <c r="H73" i="34"/>
  <c r="J73" i="34"/>
  <c r="L73" i="34"/>
  <c r="L81" i="34" s="1"/>
  <c r="H35" i="24"/>
  <c r="J35" i="22"/>
  <c r="L35" i="22"/>
  <c r="I21" i="22"/>
  <c r="L21" i="22"/>
  <c r="J45" i="28"/>
  <c r="L45" i="28"/>
  <c r="H45" i="28"/>
  <c r="J36" i="32"/>
  <c r="L36" i="32"/>
  <c r="H36" i="32"/>
  <c r="J35" i="34"/>
  <c r="L35" i="34"/>
  <c r="H35" i="34"/>
  <c r="L28" i="35"/>
  <c r="H28" i="35"/>
  <c r="J28" i="35"/>
  <c r="H45" i="33"/>
  <c r="L45" i="33"/>
  <c r="J45" i="33"/>
  <c r="H43" i="35"/>
  <c r="J43" i="35"/>
  <c r="H42" i="28"/>
  <c r="J42" i="28"/>
  <c r="L42" i="28"/>
  <c r="H41" i="33"/>
  <c r="L41" i="33"/>
  <c r="J41" i="33"/>
  <c r="J37" i="29"/>
  <c r="L37" i="29"/>
  <c r="H37" i="29"/>
  <c r="H38" i="33"/>
  <c r="J38" i="33"/>
  <c r="L38" i="33"/>
  <c r="L31" i="31"/>
  <c r="J31" i="31"/>
  <c r="H31" i="31"/>
  <c r="L30" i="32"/>
  <c r="J30" i="32"/>
  <c r="H30" i="32"/>
  <c r="H29" i="30"/>
  <c r="L29" i="30"/>
  <c r="J29" i="30"/>
  <c r="H32" i="30"/>
  <c r="L32" i="30"/>
  <c r="J32" i="30"/>
  <c r="H32" i="34"/>
  <c r="J32" i="34"/>
  <c r="L32" i="34"/>
  <c r="H30" i="33"/>
  <c r="J30" i="33"/>
  <c r="L30" i="33"/>
  <c r="H25" i="29"/>
  <c r="L25" i="29"/>
  <c r="J25" i="29"/>
  <c r="J23" i="29"/>
  <c r="L23" i="29"/>
  <c r="H23" i="29"/>
  <c r="H77" i="31"/>
  <c r="J77" i="31"/>
  <c r="L77" i="31"/>
  <c r="J20" i="29"/>
  <c r="H20" i="29"/>
  <c r="L20" i="29"/>
  <c r="L64" i="29" s="1"/>
  <c r="J76" i="35"/>
  <c r="H76" i="35"/>
  <c r="L76" i="35"/>
  <c r="H76" i="34"/>
  <c r="L76" i="34"/>
  <c r="J76" i="34"/>
  <c r="H26" i="24"/>
  <c r="J26" i="22"/>
  <c r="L26" i="22"/>
  <c r="J23" i="28"/>
  <c r="H23" i="28"/>
  <c r="L23" i="28"/>
  <c r="L75" i="33"/>
  <c r="J75" i="33"/>
  <c r="H75" i="33"/>
  <c r="F81" i="34"/>
  <c r="H25" i="24"/>
  <c r="G25" i="24" s="1"/>
  <c r="L38" i="35"/>
  <c r="H33" i="33"/>
  <c r="L33" i="33"/>
  <c r="J33" i="33"/>
  <c r="L44" i="31"/>
  <c r="H44" i="31"/>
  <c r="J44" i="31"/>
  <c r="I24" i="22"/>
  <c r="N24" i="22"/>
  <c r="J75" i="6"/>
  <c r="L75" i="6"/>
  <c r="J33" i="28"/>
  <c r="H33" i="28"/>
  <c r="L33" i="28"/>
  <c r="H34" i="30"/>
  <c r="L34" i="30"/>
  <c r="J34" i="30"/>
  <c r="H44" i="30"/>
  <c r="J44" i="30"/>
  <c r="L44" i="30"/>
  <c r="A49" i="29"/>
  <c r="L41" i="22"/>
  <c r="N41" i="22"/>
  <c r="I41" i="22"/>
  <c r="I23" i="22"/>
  <c r="N23" i="22"/>
  <c r="N32" i="22"/>
  <c r="I32" i="22"/>
  <c r="C49" i="32"/>
  <c r="J47" i="33"/>
  <c r="L47" i="33"/>
  <c r="H47" i="33"/>
  <c r="H41" i="32"/>
  <c r="L41" i="32"/>
  <c r="J41" i="32"/>
  <c r="H22" i="29"/>
  <c r="J22" i="29"/>
  <c r="L22" i="29"/>
  <c r="H76" i="6"/>
  <c r="L34" i="6"/>
  <c r="J34" i="6"/>
  <c r="H27" i="6"/>
  <c r="J24" i="6"/>
  <c r="L24" i="6"/>
  <c r="N26" i="22"/>
  <c r="I26" i="22"/>
  <c r="L20" i="6"/>
  <c r="J20" i="6"/>
  <c r="I74" i="22"/>
  <c r="N74" i="22"/>
  <c r="B49" i="31"/>
  <c r="F49" i="33"/>
  <c r="L47" i="32"/>
  <c r="H47" i="32"/>
  <c r="J47" i="32"/>
  <c r="J38" i="30"/>
  <c r="L38" i="30"/>
  <c r="H38" i="30"/>
  <c r="H34" i="29"/>
  <c r="L34" i="29"/>
  <c r="J34" i="29"/>
  <c r="J27" i="29"/>
  <c r="H27" i="29"/>
  <c r="L27" i="29"/>
  <c r="F49" i="28"/>
  <c r="H43" i="31"/>
  <c r="J43" i="31"/>
  <c r="L43" i="31"/>
  <c r="L37" i="32"/>
  <c r="J37" i="32"/>
  <c r="H37" i="32"/>
  <c r="H34" i="35"/>
  <c r="J34" i="35"/>
  <c r="C49" i="29"/>
  <c r="B49" i="33"/>
  <c r="B49" i="35"/>
  <c r="H47" i="29"/>
  <c r="L47" i="29"/>
  <c r="J47" i="29"/>
  <c r="L44" i="28"/>
  <c r="H44" i="28"/>
  <c r="J44" i="28"/>
  <c r="H38" i="29"/>
  <c r="J38" i="29"/>
  <c r="L38" i="29"/>
  <c r="L37" i="34"/>
  <c r="J37" i="34"/>
  <c r="H37" i="34"/>
  <c r="J45" i="34"/>
  <c r="H45" i="34"/>
  <c r="L45" i="34"/>
  <c r="H42" i="29"/>
  <c r="J42" i="29"/>
  <c r="L42" i="29"/>
  <c r="L42" i="31"/>
  <c r="J42" i="31"/>
  <c r="H42" i="31"/>
  <c r="H40" i="30"/>
  <c r="L40" i="30"/>
  <c r="J40" i="30"/>
  <c r="L34" i="28"/>
  <c r="J34" i="28"/>
  <c r="H34" i="28"/>
  <c r="H29" i="28"/>
  <c r="L29" i="28"/>
  <c r="J29" i="28"/>
  <c r="J43" i="32"/>
  <c r="H43" i="32"/>
  <c r="L43" i="32"/>
  <c r="L41" i="28"/>
  <c r="H41" i="28"/>
  <c r="J41" i="28"/>
  <c r="L40" i="35"/>
  <c r="J40" i="35"/>
  <c r="H40" i="35"/>
  <c r="H36" i="29"/>
  <c r="J36" i="29"/>
  <c r="L36" i="29"/>
  <c r="L36" i="35"/>
  <c r="J36" i="35"/>
  <c r="H36" i="35"/>
  <c r="H33" i="29"/>
  <c r="L33" i="29"/>
  <c r="J33" i="29"/>
  <c r="L33" i="30"/>
  <c r="J33" i="30"/>
  <c r="H33" i="30"/>
  <c r="H33" i="35"/>
  <c r="J33" i="35"/>
  <c r="L28" i="31"/>
  <c r="H28" i="31"/>
  <c r="J28" i="31"/>
  <c r="J29" i="35"/>
  <c r="L29" i="35"/>
  <c r="H29" i="35"/>
  <c r="J27" i="34"/>
  <c r="L27" i="34"/>
  <c r="H27" i="34"/>
  <c r="L25" i="28"/>
  <c r="J25" i="28"/>
  <c r="H25" i="28"/>
  <c r="J31" i="30"/>
  <c r="L31" i="30"/>
  <c r="H31" i="30"/>
  <c r="L31" i="33"/>
  <c r="J31" i="33"/>
  <c r="H31" i="33"/>
  <c r="J25" i="35"/>
  <c r="H25" i="35"/>
  <c r="J24" i="34"/>
  <c r="L24" i="34"/>
  <c r="H24" i="34"/>
  <c r="J31" i="35"/>
  <c r="H31" i="35"/>
  <c r="L31" i="35"/>
  <c r="J29" i="31"/>
  <c r="H29" i="31"/>
  <c r="L29" i="31"/>
  <c r="L77" i="28"/>
  <c r="H77" i="28"/>
  <c r="J77" i="28"/>
  <c r="H77" i="30"/>
  <c r="J77" i="30"/>
  <c r="L77" i="30"/>
  <c r="H24" i="35"/>
  <c r="J24" i="35"/>
  <c r="J74" i="29"/>
  <c r="H74" i="29"/>
  <c r="L74" i="29"/>
  <c r="H29" i="33"/>
  <c r="L29" i="33"/>
  <c r="J29" i="33"/>
  <c r="J74" i="32"/>
  <c r="H74" i="32"/>
  <c r="L74" i="32"/>
  <c r="J27" i="33"/>
  <c r="L27" i="33"/>
  <c r="H27" i="33"/>
  <c r="J25" i="33"/>
  <c r="H25" i="33"/>
  <c r="L25" i="33"/>
  <c r="H77" i="33"/>
  <c r="J77" i="33"/>
  <c r="L77" i="33"/>
  <c r="J74" i="28"/>
  <c r="L74" i="28"/>
  <c r="H74" i="28"/>
  <c r="J73" i="29"/>
  <c r="L73" i="29"/>
  <c r="L81" i="29" s="1"/>
  <c r="H73" i="29"/>
  <c r="F81" i="29"/>
  <c r="J76" i="28"/>
  <c r="L76" i="28"/>
  <c r="H76" i="28"/>
  <c r="H73" i="32"/>
  <c r="J73" i="32"/>
  <c r="L73" i="32"/>
  <c r="L81" i="32" s="1"/>
  <c r="L23" i="35"/>
  <c r="H23" i="35"/>
  <c r="J23" i="35"/>
  <c r="J22" i="33"/>
  <c r="H22" i="33"/>
  <c r="L22" i="33"/>
  <c r="J22" i="35"/>
  <c r="H22" i="35"/>
  <c r="L22" i="35"/>
  <c r="F81" i="30"/>
  <c r="F81" i="28"/>
  <c r="J20" i="30"/>
  <c r="H20" i="30"/>
  <c r="L20" i="30"/>
  <c r="L64" i="30" s="1"/>
  <c r="H20" i="33"/>
  <c r="J20" i="33"/>
  <c r="L20" i="33"/>
  <c r="L64" i="33" s="1"/>
  <c r="J73" i="31"/>
  <c r="H73" i="31"/>
  <c r="L73" i="31"/>
  <c r="L81" i="31" s="1"/>
  <c r="J32" i="22"/>
  <c r="L32" i="22"/>
  <c r="L20" i="35"/>
  <c r="H20" i="35"/>
  <c r="J20" i="35"/>
  <c r="J33" i="22"/>
  <c r="H33" i="24"/>
  <c r="L33" i="22"/>
  <c r="H24" i="6"/>
  <c r="K24" i="56"/>
  <c r="K26" i="56" s="1"/>
  <c r="K25" i="56" s="1"/>
  <c r="K28" i="56" s="1"/>
  <c r="H22" i="56"/>
  <c r="K22" i="56"/>
  <c r="H24" i="56"/>
  <c r="H26" i="56" s="1"/>
  <c r="H25" i="56" s="1"/>
  <c r="H28" i="56" s="1"/>
  <c r="H30" i="56" s="1"/>
  <c r="N24" i="56"/>
  <c r="N26" i="56" s="1"/>
  <c r="N23" i="56"/>
  <c r="M21" i="56"/>
  <c r="I78" i="24"/>
  <c r="K78" i="24"/>
  <c r="K77" i="24"/>
  <c r="I77" i="24"/>
  <c r="I23" i="24"/>
  <c r="K23" i="24"/>
  <c r="J23" i="24" s="1"/>
  <c r="I32" i="24"/>
  <c r="K32" i="24"/>
  <c r="J32" i="24" s="1"/>
  <c r="I38" i="24"/>
  <c r="K38" i="24"/>
  <c r="J38" i="24" s="1"/>
  <c r="H21" i="25"/>
  <c r="G21" i="25" s="1"/>
  <c r="L21" i="24"/>
  <c r="J13" i="32"/>
  <c r="J13" i="34"/>
  <c r="L13" i="24"/>
  <c r="J13" i="33"/>
  <c r="L13" i="25"/>
  <c r="J13" i="31"/>
  <c r="L13" i="22"/>
  <c r="J13" i="28"/>
  <c r="J13" i="35"/>
  <c r="J13" i="6"/>
  <c r="J13" i="30"/>
  <c r="A19" i="3"/>
  <c r="M36" i="6" l="1"/>
  <c r="D35" i="6"/>
  <c r="G35" i="6" s="1"/>
  <c r="H35" i="6" s="1"/>
  <c r="B35" i="6"/>
  <c r="C35" i="6"/>
  <c r="E35" i="6"/>
  <c r="F35" i="6"/>
  <c r="A35" i="6"/>
  <c r="O43" i="22"/>
  <c r="E42" i="22"/>
  <c r="F42" i="22"/>
  <c r="B42" i="22"/>
  <c r="C42" i="22"/>
  <c r="D42" i="22"/>
  <c r="K42" i="22" s="1"/>
  <c r="A42" i="22"/>
  <c r="C49" i="30"/>
  <c r="F49" i="34"/>
  <c r="D49" i="35"/>
  <c r="C49" i="34"/>
  <c r="C49" i="33"/>
  <c r="A49" i="28"/>
  <c r="H32" i="6"/>
  <c r="C49" i="31"/>
  <c r="A49" i="31"/>
  <c r="E49" i="34"/>
  <c r="E49" i="32"/>
  <c r="J49" i="32" s="1"/>
  <c r="F49" i="30"/>
  <c r="D49" i="29"/>
  <c r="L32" i="6"/>
  <c r="O28" i="25"/>
  <c r="F27" i="25"/>
  <c r="A27" i="25"/>
  <c r="C27" i="25"/>
  <c r="B27" i="25"/>
  <c r="E27" i="25"/>
  <c r="D27" i="25"/>
  <c r="O49" i="24"/>
  <c r="C48" i="24"/>
  <c r="F48" i="24"/>
  <c r="B48" i="24"/>
  <c r="A48" i="24"/>
  <c r="E48" i="24"/>
  <c r="N48" i="24" s="1"/>
  <c r="D48" i="24"/>
  <c r="K74" i="24"/>
  <c r="L74" i="24" s="1"/>
  <c r="N82" i="22"/>
  <c r="N83" i="22" s="1"/>
  <c r="N84" i="22" s="1"/>
  <c r="N86" i="22" s="1"/>
  <c r="N90" i="22" s="1"/>
  <c r="I82" i="22"/>
  <c r="I83" i="22" s="1"/>
  <c r="I84" i="22" s="1"/>
  <c r="I86" i="22" s="1"/>
  <c r="I90" i="22" s="1"/>
  <c r="I34" i="24"/>
  <c r="I36" i="24"/>
  <c r="I24" i="24"/>
  <c r="K34" i="24"/>
  <c r="J34" i="24" s="1"/>
  <c r="K24" i="24"/>
  <c r="J24" i="24" s="1"/>
  <c r="K36" i="24"/>
  <c r="J36" i="24" s="1"/>
  <c r="K28" i="24"/>
  <c r="J28" i="24" s="1"/>
  <c r="K30" i="24"/>
  <c r="J30" i="24" s="1"/>
  <c r="I75" i="24"/>
  <c r="H56" i="5"/>
  <c r="H58" i="5" s="1"/>
  <c r="H73" i="5" s="1"/>
  <c r="H77" i="5" s="1"/>
  <c r="I30" i="24"/>
  <c r="H81" i="6"/>
  <c r="H82" i="6" s="1"/>
  <c r="H83" i="6" s="1"/>
  <c r="H85" i="6" s="1"/>
  <c r="H89" i="6" s="1"/>
  <c r="J50" i="5"/>
  <c r="B49" i="28"/>
  <c r="A49" i="34"/>
  <c r="C49" i="28"/>
  <c r="B49" i="30"/>
  <c r="D49" i="33"/>
  <c r="E49" i="31"/>
  <c r="B49" i="34"/>
  <c r="B49" i="29"/>
  <c r="B49" i="32"/>
  <c r="E49" i="29"/>
  <c r="A49" i="32"/>
  <c r="A49" i="33"/>
  <c r="A49" i="30"/>
  <c r="D49" i="28"/>
  <c r="D49" i="32"/>
  <c r="D49" i="34"/>
  <c r="E49" i="35"/>
  <c r="E49" i="33"/>
  <c r="D49" i="31"/>
  <c r="A49" i="35"/>
  <c r="D49" i="30"/>
  <c r="K41" i="24"/>
  <c r="J41" i="24" s="1"/>
  <c r="F85" i="32"/>
  <c r="F89" i="32" s="1"/>
  <c r="J81" i="35"/>
  <c r="F86" i="25"/>
  <c r="F90" i="25" s="1"/>
  <c r="J81" i="30"/>
  <c r="J82" i="30" s="1"/>
  <c r="J83" i="30" s="1"/>
  <c r="J85" i="30" s="1"/>
  <c r="J89" i="30" s="1"/>
  <c r="I25" i="24"/>
  <c r="L82" i="22"/>
  <c r="L83" i="22" s="1"/>
  <c r="L84" i="22" s="1"/>
  <c r="L86" i="22" s="1"/>
  <c r="L90" i="22" s="1"/>
  <c r="J81" i="33"/>
  <c r="J82" i="33" s="1"/>
  <c r="J83" i="33" s="1"/>
  <c r="J85" i="33" s="1"/>
  <c r="J89" i="33" s="1"/>
  <c r="G33" i="24"/>
  <c r="K33" i="24"/>
  <c r="I33" i="24"/>
  <c r="L65" i="33"/>
  <c r="L68" i="33" s="1"/>
  <c r="L70" i="33" s="1"/>
  <c r="L87" i="33" s="1"/>
  <c r="L66" i="33"/>
  <c r="L67" i="33"/>
  <c r="L82" i="29"/>
  <c r="L83" i="29" s="1"/>
  <c r="L85" i="29" s="1"/>
  <c r="L89" i="29" s="1"/>
  <c r="J49" i="34"/>
  <c r="H49" i="34"/>
  <c r="L49" i="34"/>
  <c r="L65" i="29"/>
  <c r="L68" i="29" s="1"/>
  <c r="L70" i="29" s="1"/>
  <c r="L87" i="29" s="1"/>
  <c r="L67" i="29"/>
  <c r="L66" i="29"/>
  <c r="H81" i="34"/>
  <c r="F82" i="35"/>
  <c r="F83" i="35" s="1"/>
  <c r="F85" i="35" s="1"/>
  <c r="F89" i="35" s="1"/>
  <c r="G39" i="24"/>
  <c r="I39" i="24"/>
  <c r="K39" i="24"/>
  <c r="J82" i="35"/>
  <c r="J83" i="35" s="1"/>
  <c r="J85" i="35" s="1"/>
  <c r="J89" i="35" s="1"/>
  <c r="J51" i="5"/>
  <c r="B50" i="35"/>
  <c r="A51" i="34"/>
  <c r="D51" i="32"/>
  <c r="A50" i="29"/>
  <c r="B52" i="34"/>
  <c r="F52" i="32"/>
  <c r="B52" i="30"/>
  <c r="A53" i="28"/>
  <c r="B53" i="34"/>
  <c r="B52" i="31"/>
  <c r="A52" i="29"/>
  <c r="D54" i="35"/>
  <c r="C54" i="33"/>
  <c r="C53" i="31"/>
  <c r="E53" i="29"/>
  <c r="A55" i="35"/>
  <c r="E55" i="33"/>
  <c r="E54" i="31"/>
  <c r="A56" i="28"/>
  <c r="F56" i="34"/>
  <c r="D55" i="31"/>
  <c r="B55" i="29"/>
  <c r="C57" i="34"/>
  <c r="E57" i="32"/>
  <c r="D56" i="29"/>
  <c r="F50" i="28"/>
  <c r="F50" i="33"/>
  <c r="D51" i="28"/>
  <c r="C51" i="33"/>
  <c r="B51" i="30"/>
  <c r="A52" i="35"/>
  <c r="E52" i="32"/>
  <c r="C53" i="28"/>
  <c r="E53" i="33"/>
  <c r="F52" i="31"/>
  <c r="A54" i="35"/>
  <c r="A54" i="33"/>
  <c r="D54" i="30"/>
  <c r="E55" i="34"/>
  <c r="D55" i="32"/>
  <c r="F56" i="28"/>
  <c r="B56" i="33"/>
  <c r="A55" i="31"/>
  <c r="B57" i="35"/>
  <c r="E57" i="33"/>
  <c r="B56" i="31"/>
  <c r="D58" i="28"/>
  <c r="E58" i="34"/>
  <c r="B51" i="34"/>
  <c r="F51" i="30"/>
  <c r="C52" i="34"/>
  <c r="A53" i="33"/>
  <c r="C54" i="34"/>
  <c r="A53" i="29"/>
  <c r="B55" i="34"/>
  <c r="E55" i="30"/>
  <c r="C56" i="33"/>
  <c r="D56" i="31"/>
  <c r="A58" i="34"/>
  <c r="B58" i="32"/>
  <c r="F57" i="29"/>
  <c r="B58" i="29"/>
  <c r="A50" i="28"/>
  <c r="C50" i="30"/>
  <c r="F51" i="34"/>
  <c r="C50" i="29"/>
  <c r="F52" i="34"/>
  <c r="F52" i="30"/>
  <c r="E53" i="34"/>
  <c r="B52" i="29"/>
  <c r="F54" i="30"/>
  <c r="D54" i="29"/>
  <c r="F56" i="33"/>
  <c r="A57" i="28"/>
  <c r="F56" i="29"/>
  <c r="E58" i="33"/>
  <c r="E57" i="29"/>
  <c r="C59" i="35"/>
  <c r="A60" i="33"/>
  <c r="A58" i="33"/>
  <c r="F57" i="34"/>
  <c r="C55" i="30"/>
  <c r="D55" i="28"/>
  <c r="A54" i="28"/>
  <c r="E52" i="30"/>
  <c r="A50" i="35"/>
  <c r="C59" i="31"/>
  <c r="D57" i="29"/>
  <c r="F58" i="34"/>
  <c r="D55" i="29"/>
  <c r="C55" i="35"/>
  <c r="B53" i="32"/>
  <c r="C50" i="31"/>
  <c r="B50" i="33"/>
  <c r="E58" i="31"/>
  <c r="E58" i="28"/>
  <c r="C57" i="33"/>
  <c r="E56" i="30"/>
  <c r="A55" i="32"/>
  <c r="C52" i="31"/>
  <c r="C52" i="28"/>
  <c r="A51" i="28"/>
  <c r="F58" i="31"/>
  <c r="C59" i="28"/>
  <c r="E57" i="31"/>
  <c r="D57" i="30"/>
  <c r="C56" i="32"/>
  <c r="B54" i="34"/>
  <c r="B53" i="28"/>
  <c r="A51" i="32"/>
  <c r="C50" i="28"/>
  <c r="B50" i="30"/>
  <c r="D51" i="33"/>
  <c r="A52" i="28"/>
  <c r="B51" i="31"/>
  <c r="B53" i="35"/>
  <c r="D53" i="30"/>
  <c r="E54" i="34"/>
  <c r="C54" i="30"/>
  <c r="F55" i="34"/>
  <c r="C54" i="29"/>
  <c r="E56" i="33"/>
  <c r="D57" i="35"/>
  <c r="F56" i="31"/>
  <c r="D50" i="30"/>
  <c r="E51" i="32"/>
  <c r="E52" i="33"/>
  <c r="C53" i="35"/>
  <c r="D52" i="29"/>
  <c r="B54" i="32"/>
  <c r="D55" i="33"/>
  <c r="D56" i="34"/>
  <c r="E55" i="29"/>
  <c r="F57" i="32"/>
  <c r="B58" i="35"/>
  <c r="A50" i="34"/>
  <c r="C51" i="32"/>
  <c r="D52" i="30"/>
  <c r="B53" i="31"/>
  <c r="B55" i="32"/>
  <c r="F55" i="29"/>
  <c r="D58" i="33"/>
  <c r="C58" i="31"/>
  <c r="D59" i="29"/>
  <c r="C50" i="32"/>
  <c r="B51" i="35"/>
  <c r="D52" i="28"/>
  <c r="E53" i="28"/>
  <c r="E54" i="35"/>
  <c r="F56" i="35"/>
  <c r="B55" i="31"/>
  <c r="F58" i="35"/>
  <c r="A58" i="31"/>
  <c r="C50" i="34"/>
  <c r="E50" i="30"/>
  <c r="E51" i="28"/>
  <c r="F51" i="33"/>
  <c r="B50" i="31"/>
  <c r="F52" i="28"/>
  <c r="A52" i="34"/>
  <c r="D52" i="32"/>
  <c r="F51" i="29"/>
  <c r="A53" i="35"/>
  <c r="D53" i="33"/>
  <c r="E52" i="31"/>
  <c r="C52" i="29"/>
  <c r="D54" i="34"/>
  <c r="E54" i="32"/>
  <c r="E54" i="30"/>
  <c r="A55" i="28"/>
  <c r="C55" i="34"/>
  <c r="E55" i="32"/>
  <c r="A55" i="30"/>
  <c r="C56" i="28"/>
  <c r="C56" i="34"/>
  <c r="E55" i="31"/>
  <c r="E57" i="28"/>
  <c r="D57" i="33"/>
  <c r="C56" i="31"/>
  <c r="F58" i="28"/>
  <c r="C50" i="35"/>
  <c r="D50" i="33"/>
  <c r="F51" i="35"/>
  <c r="E51" i="33"/>
  <c r="C51" i="30"/>
  <c r="E52" i="34"/>
  <c r="F51" i="31"/>
  <c r="D53" i="35"/>
  <c r="B53" i="33"/>
  <c r="A53" i="30"/>
  <c r="C54" i="35"/>
  <c r="D54" i="32"/>
  <c r="B54" i="30"/>
  <c r="F55" i="33"/>
  <c r="B54" i="31"/>
  <c r="D56" i="35"/>
  <c r="F56" i="32"/>
  <c r="A56" i="30"/>
  <c r="C57" i="35"/>
  <c r="B57" i="33"/>
  <c r="A57" i="30"/>
  <c r="A58" i="28"/>
  <c r="D50" i="34"/>
  <c r="B51" i="33"/>
  <c r="F50" i="29"/>
  <c r="C52" i="30"/>
  <c r="D52" i="31"/>
  <c r="F54" i="33"/>
  <c r="E55" i="28"/>
  <c r="B55" i="33"/>
  <c r="E54" i="29"/>
  <c r="D56" i="30"/>
  <c r="E57" i="30"/>
  <c r="F58" i="33"/>
  <c r="A57" i="31"/>
  <c r="B57" i="29"/>
  <c r="B58" i="31"/>
  <c r="E58" i="29"/>
  <c r="B60" i="32"/>
  <c r="F50" i="34"/>
  <c r="B51" i="32"/>
  <c r="B50" i="29"/>
  <c r="A52" i="33"/>
  <c r="D51" i="29"/>
  <c r="A53" i="32"/>
  <c r="E54" i="28"/>
  <c r="F53" i="29"/>
  <c r="E56" i="28"/>
  <c r="A56" i="32"/>
  <c r="E57" i="35"/>
  <c r="B58" i="28"/>
  <c r="A58" i="32"/>
  <c r="F59" i="32"/>
  <c r="C58" i="29"/>
  <c r="A60" i="31"/>
  <c r="C58" i="34"/>
  <c r="B56" i="32"/>
  <c r="D54" i="31"/>
  <c r="D53" i="31"/>
  <c r="C53" i="30"/>
  <c r="C52" i="33"/>
  <c r="F50" i="30"/>
  <c r="D50" i="28"/>
  <c r="A58" i="29"/>
  <c r="D58" i="30"/>
  <c r="E56" i="31"/>
  <c r="F55" i="31"/>
  <c r="E53" i="31"/>
  <c r="C53" i="33"/>
  <c r="C51" i="34"/>
  <c r="E50" i="28"/>
  <c r="A59" i="32"/>
  <c r="A57" i="29"/>
  <c r="E56" i="29"/>
  <c r="B57" i="34"/>
  <c r="A56" i="33"/>
  <c r="C55" i="28"/>
  <c r="A51" i="29"/>
  <c r="E50" i="29"/>
  <c r="A50" i="32"/>
  <c r="C57" i="29"/>
  <c r="C58" i="32"/>
  <c r="A56" i="31"/>
  <c r="E56" i="35"/>
  <c r="F54" i="35"/>
  <c r="A51" i="31"/>
  <c r="E51" i="35"/>
  <c r="E50" i="33"/>
  <c r="F51" i="28"/>
  <c r="D50" i="31"/>
  <c r="D52" i="33"/>
  <c r="C51" i="29"/>
  <c r="F53" i="33"/>
  <c r="D54" i="28"/>
  <c r="C54" i="32"/>
  <c r="B55" i="28"/>
  <c r="C55" i="32"/>
  <c r="C56" i="35"/>
  <c r="B56" i="30"/>
  <c r="F57" i="33"/>
  <c r="A58" i="35"/>
  <c r="D50" i="35"/>
  <c r="E50" i="32"/>
  <c r="D51" i="35"/>
  <c r="D50" i="29"/>
  <c r="A52" i="30"/>
  <c r="C53" i="32"/>
  <c r="F54" i="34"/>
  <c r="C53" i="29"/>
  <c r="B55" i="30"/>
  <c r="D56" i="32"/>
  <c r="A57" i="34"/>
  <c r="A56" i="29"/>
  <c r="C51" i="28"/>
  <c r="C52" i="35"/>
  <c r="F52" i="29"/>
  <c r="F55" i="28"/>
  <c r="D56" i="28"/>
  <c r="C58" i="28"/>
  <c r="C57" i="31"/>
  <c r="F59" i="33"/>
  <c r="F50" i="31"/>
  <c r="B52" i="32"/>
  <c r="A52" i="31"/>
  <c r="B55" i="35"/>
  <c r="E57" i="34"/>
  <c r="C58" i="30"/>
  <c r="F60" i="30"/>
  <c r="E50" i="35"/>
  <c r="F51" i="32"/>
  <c r="E51" i="31"/>
  <c r="B53" i="30"/>
  <c r="B53" i="29"/>
  <c r="A54" i="29"/>
  <c r="A57" i="35"/>
  <c r="F50" i="32"/>
  <c r="E52" i="28"/>
  <c r="E53" i="32"/>
  <c r="D55" i="35"/>
  <c r="C55" i="31"/>
  <c r="B56" i="29"/>
  <c r="A50" i="33"/>
  <c r="F53" i="34"/>
  <c r="A54" i="31"/>
  <c r="D58" i="32"/>
  <c r="D51" i="31"/>
  <c r="D55" i="34"/>
  <c r="B58" i="34"/>
  <c r="B57" i="31"/>
  <c r="A56" i="34"/>
  <c r="F54" i="32"/>
  <c r="E52" i="35"/>
  <c r="D58" i="31"/>
  <c r="B58" i="33"/>
  <c r="F54" i="31"/>
  <c r="C51" i="31"/>
  <c r="D57" i="31"/>
  <c r="A55" i="29"/>
  <c r="F53" i="30"/>
  <c r="A51" i="33"/>
  <c r="C58" i="35"/>
  <c r="D53" i="29"/>
  <c r="B52" i="28"/>
  <c r="C56" i="29"/>
  <c r="D53" i="34"/>
  <c r="E52" i="29"/>
  <c r="D55" i="30"/>
  <c r="F57" i="31"/>
  <c r="F53" i="35"/>
  <c r="A51" i="35"/>
  <c r="F53" i="32"/>
  <c r="C54" i="31"/>
  <c r="D58" i="35"/>
  <c r="B50" i="34"/>
  <c r="A50" i="31"/>
  <c r="F53" i="31"/>
  <c r="D57" i="32"/>
  <c r="E55" i="35"/>
  <c r="F52" i="35"/>
  <c r="B57" i="32"/>
  <c r="B51" i="29"/>
  <c r="B56" i="34"/>
  <c r="D58" i="29"/>
  <c r="A54" i="32"/>
  <c r="C58" i="33"/>
  <c r="A52" i="32"/>
  <c r="D50" i="32"/>
  <c r="A51" i="30"/>
  <c r="D53" i="28"/>
  <c r="F54" i="28"/>
  <c r="F55" i="35"/>
  <c r="A56" i="35"/>
  <c r="C57" i="32"/>
  <c r="C52" i="32"/>
  <c r="B54" i="28"/>
  <c r="F55" i="32"/>
  <c r="B57" i="28"/>
  <c r="D58" i="34"/>
  <c r="C51" i="35"/>
  <c r="C54" i="28"/>
  <c r="B56" i="35"/>
  <c r="F58" i="30"/>
  <c r="E51" i="34"/>
  <c r="E53" i="35"/>
  <c r="E56" i="34"/>
  <c r="E58" i="30"/>
  <c r="E58" i="32"/>
  <c r="B56" i="28"/>
  <c r="E54" i="33"/>
  <c r="B51" i="28"/>
  <c r="B60" i="33"/>
  <c r="F57" i="35"/>
  <c r="B54" i="35"/>
  <c r="A50" i="30"/>
  <c r="C57" i="30"/>
  <c r="F54" i="29"/>
  <c r="F52" i="33"/>
  <c r="F50" i="35"/>
  <c r="C60" i="29"/>
  <c r="F58" i="29"/>
  <c r="B58" i="30"/>
  <c r="F57" i="28"/>
  <c r="D53" i="32"/>
  <c r="D52" i="35"/>
  <c r="C53" i="34"/>
  <c r="B54" i="33"/>
  <c r="C55" i="33"/>
  <c r="E56" i="32"/>
  <c r="B57" i="30"/>
  <c r="D51" i="34"/>
  <c r="E51" i="29"/>
  <c r="A54" i="34"/>
  <c r="B54" i="29"/>
  <c r="D57" i="34"/>
  <c r="E50" i="31"/>
  <c r="A54" i="30"/>
  <c r="A57" i="33"/>
  <c r="D51" i="30"/>
  <c r="E53" i="30"/>
  <c r="F56" i="30"/>
  <c r="A55" i="33"/>
  <c r="C50" i="33"/>
  <c r="C57" i="28"/>
  <c r="B50" i="32"/>
  <c r="A57" i="32"/>
  <c r="D52" i="34"/>
  <c r="B50" i="28"/>
  <c r="C55" i="29"/>
  <c r="B52" i="33"/>
  <c r="A53" i="31"/>
  <c r="C56" i="30"/>
  <c r="A53" i="34"/>
  <c r="D56" i="33"/>
  <c r="B52" i="35"/>
  <c r="E58" i="35"/>
  <c r="D54" i="33"/>
  <c r="F57" i="30"/>
  <c r="A55" i="34"/>
  <c r="E50" i="34"/>
  <c r="F58" i="32"/>
  <c r="F53" i="28"/>
  <c r="A58" i="30"/>
  <c r="D57" i="28"/>
  <c r="E51" i="30"/>
  <c r="F55" i="30"/>
  <c r="L82" i="30"/>
  <c r="L83" i="30" s="1"/>
  <c r="L85" i="30" s="1"/>
  <c r="L89" i="30" s="1"/>
  <c r="L82" i="31"/>
  <c r="L83" i="31" s="1"/>
  <c r="L85" i="31" s="1"/>
  <c r="L89" i="31" s="1"/>
  <c r="J81" i="32"/>
  <c r="G35" i="24"/>
  <c r="K35" i="24"/>
  <c r="I35" i="24"/>
  <c r="L65" i="28"/>
  <c r="L68" i="28" s="1"/>
  <c r="L70" i="28" s="1"/>
  <c r="L87" i="28" s="1"/>
  <c r="L67" i="28"/>
  <c r="L66" i="28"/>
  <c r="G29" i="24"/>
  <c r="I29" i="24"/>
  <c r="K29" i="24"/>
  <c r="H81" i="33"/>
  <c r="I76" i="24"/>
  <c r="I28" i="24"/>
  <c r="I41" i="24"/>
  <c r="H81" i="31"/>
  <c r="F82" i="28"/>
  <c r="F83" i="28" s="1"/>
  <c r="F85" i="28" s="1"/>
  <c r="F89" i="28" s="1"/>
  <c r="H81" i="32"/>
  <c r="F82" i="29"/>
  <c r="F83" i="29" s="1"/>
  <c r="F85" i="29" s="1"/>
  <c r="F89" i="29" s="1"/>
  <c r="L82" i="34"/>
  <c r="L83" i="34" s="1"/>
  <c r="L85" i="34" s="1"/>
  <c r="L89" i="34" s="1"/>
  <c r="L82" i="28"/>
  <c r="L83" i="28" s="1"/>
  <c r="L85" i="28" s="1"/>
  <c r="L89" i="28" s="1"/>
  <c r="L49" i="32"/>
  <c r="F83" i="24"/>
  <c r="F84" i="24" s="1"/>
  <c r="F86" i="24" s="1"/>
  <c r="F90" i="24" s="1"/>
  <c r="F82" i="31"/>
  <c r="F83" i="31" s="1"/>
  <c r="F85" i="31" s="1"/>
  <c r="F89" i="31" s="1"/>
  <c r="L82" i="33"/>
  <c r="L83" i="33" s="1"/>
  <c r="L85" i="33" s="1"/>
  <c r="L89" i="33" s="1"/>
  <c r="L66" i="31"/>
  <c r="L65" i="31"/>
  <c r="L68" i="31" s="1"/>
  <c r="L70" i="31" s="1"/>
  <c r="L87" i="31" s="1"/>
  <c r="L67" i="31"/>
  <c r="J81" i="6"/>
  <c r="L82" i="32"/>
  <c r="L83" i="32" s="1"/>
  <c r="L85" i="32" s="1"/>
  <c r="L89" i="32" s="1"/>
  <c r="F82" i="34"/>
  <c r="F83" i="34" s="1"/>
  <c r="F85" i="34" s="1"/>
  <c r="F89" i="34" s="1"/>
  <c r="L66" i="34"/>
  <c r="L67" i="34"/>
  <c r="L65" i="34"/>
  <c r="L68" i="34" s="1"/>
  <c r="L70" i="34" s="1"/>
  <c r="L87" i="34" s="1"/>
  <c r="J81" i="29"/>
  <c r="G26" i="24"/>
  <c r="K26" i="24"/>
  <c r="I26" i="24"/>
  <c r="J81" i="28"/>
  <c r="L81" i="35"/>
  <c r="L82" i="35" s="1"/>
  <c r="L83" i="35" s="1"/>
  <c r="L85" i="35" s="1"/>
  <c r="L89" i="35" s="1"/>
  <c r="G37" i="24"/>
  <c r="K37" i="24"/>
  <c r="I37" i="24"/>
  <c r="G31" i="24"/>
  <c r="K31" i="24"/>
  <c r="I31" i="24"/>
  <c r="K25" i="24"/>
  <c r="J25" i="24" s="1"/>
  <c r="J81" i="31"/>
  <c r="L67" i="30"/>
  <c r="L65" i="30"/>
  <c r="L68" i="30" s="1"/>
  <c r="L70" i="30" s="1"/>
  <c r="L87" i="30" s="1"/>
  <c r="L66" i="30"/>
  <c r="F82" i="30"/>
  <c r="F83" i="30" s="1"/>
  <c r="F85" i="30" s="1"/>
  <c r="F89" i="30" s="1"/>
  <c r="H81" i="29"/>
  <c r="J81" i="34"/>
  <c r="H81" i="28"/>
  <c r="H81" i="35"/>
  <c r="L65" i="32"/>
  <c r="L68" i="32" s="1"/>
  <c r="L70" i="32" s="1"/>
  <c r="L87" i="32" s="1"/>
  <c r="L67" i="32"/>
  <c r="L66" i="32"/>
  <c r="H49" i="30"/>
  <c r="L49" i="30"/>
  <c r="J49" i="30"/>
  <c r="H49" i="28"/>
  <c r="L49" i="28"/>
  <c r="J49" i="28"/>
  <c r="H81" i="30"/>
  <c r="L81" i="6"/>
  <c r="K30" i="56"/>
  <c r="G11" i="56"/>
  <c r="N25" i="56"/>
  <c r="N28" i="56" s="1"/>
  <c r="L38" i="24"/>
  <c r="H38" i="25"/>
  <c r="G38" i="25" s="1"/>
  <c r="I21" i="25"/>
  <c r="K21" i="25"/>
  <c r="L36" i="24"/>
  <c r="L32" i="24"/>
  <c r="H32" i="25"/>
  <c r="G32" i="25" s="1"/>
  <c r="L76" i="24"/>
  <c r="H76" i="25"/>
  <c r="L77" i="24"/>
  <c r="H77" i="25"/>
  <c r="L23" i="24"/>
  <c r="H23" i="25"/>
  <c r="G23" i="25" s="1"/>
  <c r="L75" i="24"/>
  <c r="H75" i="25"/>
  <c r="L78" i="24"/>
  <c r="H78" i="25"/>
  <c r="H49" i="32" l="1"/>
  <c r="D59" i="33"/>
  <c r="C59" i="34"/>
  <c r="F59" i="34"/>
  <c r="A60" i="32"/>
  <c r="B60" i="30"/>
  <c r="O29" i="25"/>
  <c r="A28" i="25"/>
  <c r="F28" i="25"/>
  <c r="D28" i="25"/>
  <c r="E28" i="25"/>
  <c r="N28" i="25" s="1"/>
  <c r="C28" i="25"/>
  <c r="B28" i="25"/>
  <c r="J42" i="22"/>
  <c r="L42" i="22"/>
  <c r="H42" i="24"/>
  <c r="I42" i="22"/>
  <c r="N42" i="22"/>
  <c r="H74" i="25"/>
  <c r="C59" i="30"/>
  <c r="C60" i="33"/>
  <c r="D60" i="33"/>
  <c r="B59" i="32"/>
  <c r="F59" i="28"/>
  <c r="E59" i="32"/>
  <c r="O50" i="24"/>
  <c r="F49" i="24"/>
  <c r="D49" i="24"/>
  <c r="A49" i="24"/>
  <c r="C49" i="24"/>
  <c r="B49" i="24"/>
  <c r="E49" i="24"/>
  <c r="O44" i="22"/>
  <c r="E43" i="22"/>
  <c r="B43" i="22"/>
  <c r="C43" i="22"/>
  <c r="D43" i="22"/>
  <c r="K43" i="22" s="1"/>
  <c r="F43" i="22"/>
  <c r="A43" i="22"/>
  <c r="L35" i="6"/>
  <c r="J35" i="6"/>
  <c r="M37" i="6"/>
  <c r="A36" i="6"/>
  <c r="C36" i="6"/>
  <c r="E36" i="6"/>
  <c r="F36" i="6"/>
  <c r="D36" i="6"/>
  <c r="G36" i="6" s="1"/>
  <c r="H36" i="6" s="1"/>
  <c r="B36" i="6"/>
  <c r="H34" i="25"/>
  <c r="G34" i="25" s="1"/>
  <c r="H30" i="25"/>
  <c r="G30" i="25" s="1"/>
  <c r="H36" i="25"/>
  <c r="G36" i="25" s="1"/>
  <c r="H41" i="25"/>
  <c r="G41" i="25" s="1"/>
  <c r="L34" i="24"/>
  <c r="L30" i="24"/>
  <c r="H24" i="25"/>
  <c r="G24" i="25" s="1"/>
  <c r="L24" i="24"/>
  <c r="I82" i="24"/>
  <c r="I83" i="24" s="1"/>
  <c r="I84" i="24" s="1"/>
  <c r="I86" i="24" s="1"/>
  <c r="I90" i="24" s="1"/>
  <c r="H28" i="25"/>
  <c r="G28" i="25" s="1"/>
  <c r="L28" i="24"/>
  <c r="L41" i="24"/>
  <c r="J49" i="29"/>
  <c r="L49" i="29"/>
  <c r="H49" i="29"/>
  <c r="L49" i="31"/>
  <c r="J49" i="31"/>
  <c r="H49" i="31"/>
  <c r="J49" i="35"/>
  <c r="H49" i="35"/>
  <c r="L49" i="35"/>
  <c r="H49" i="33"/>
  <c r="J49" i="33"/>
  <c r="L49" i="33"/>
  <c r="H25" i="25"/>
  <c r="G25" i="25" s="1"/>
  <c r="L91" i="29"/>
  <c r="L25" i="24"/>
  <c r="L91" i="28"/>
  <c r="L51" i="29"/>
  <c r="J51" i="29"/>
  <c r="H51" i="29"/>
  <c r="J57" i="34"/>
  <c r="L57" i="34"/>
  <c r="H57" i="34"/>
  <c r="H50" i="28"/>
  <c r="L50" i="28"/>
  <c r="J50" i="28"/>
  <c r="J57" i="28"/>
  <c r="H57" i="28"/>
  <c r="L57" i="28"/>
  <c r="L54" i="30"/>
  <c r="J54" i="30"/>
  <c r="H54" i="30"/>
  <c r="H56" i="33"/>
  <c r="J56" i="33"/>
  <c r="L56" i="33"/>
  <c r="L58" i="31"/>
  <c r="H58" i="31"/>
  <c r="J58" i="31"/>
  <c r="L91" i="33"/>
  <c r="J82" i="34"/>
  <c r="J83" i="34" s="1"/>
  <c r="J85" i="34" s="1"/>
  <c r="J89" i="34" s="1"/>
  <c r="J37" i="24"/>
  <c r="H37" i="25"/>
  <c r="L37" i="24"/>
  <c r="L91" i="34"/>
  <c r="H82" i="33"/>
  <c r="H83" i="33" s="1"/>
  <c r="H85" i="33" s="1"/>
  <c r="H89" i="33" s="1"/>
  <c r="J82" i="32"/>
  <c r="J83" i="32" s="1"/>
  <c r="J85" i="32" s="1"/>
  <c r="J89" i="32" s="1"/>
  <c r="E59" i="34"/>
  <c r="B60" i="31"/>
  <c r="H53" i="30"/>
  <c r="L53" i="30"/>
  <c r="J53" i="30"/>
  <c r="H53" i="35"/>
  <c r="J53" i="35"/>
  <c r="L53" i="35"/>
  <c r="B59" i="29"/>
  <c r="A60" i="30"/>
  <c r="H52" i="29"/>
  <c r="J52" i="29"/>
  <c r="L52" i="29"/>
  <c r="A59" i="30"/>
  <c r="E59" i="29"/>
  <c r="D60" i="29"/>
  <c r="H50" i="33"/>
  <c r="J50" i="33"/>
  <c r="L50" i="33"/>
  <c r="H50" i="29"/>
  <c r="L50" i="29"/>
  <c r="J50" i="29"/>
  <c r="C60" i="35"/>
  <c r="L56" i="31"/>
  <c r="J56" i="31"/>
  <c r="H56" i="31"/>
  <c r="D60" i="32"/>
  <c r="J57" i="35"/>
  <c r="L57" i="35"/>
  <c r="H57" i="35"/>
  <c r="L51" i="33"/>
  <c r="J51" i="33"/>
  <c r="H51" i="33"/>
  <c r="H51" i="28"/>
  <c r="J51" i="28"/>
  <c r="L51" i="28"/>
  <c r="A60" i="34"/>
  <c r="L52" i="30"/>
  <c r="J52" i="30"/>
  <c r="H52" i="30"/>
  <c r="H57" i="29"/>
  <c r="J57" i="29"/>
  <c r="L57" i="29"/>
  <c r="L53" i="34"/>
  <c r="J53" i="34"/>
  <c r="H53" i="34"/>
  <c r="E60" i="33"/>
  <c r="H53" i="33"/>
  <c r="L53" i="33"/>
  <c r="J53" i="33"/>
  <c r="L54" i="31"/>
  <c r="J54" i="31"/>
  <c r="H54" i="31"/>
  <c r="L82" i="6"/>
  <c r="L83" i="6" s="1"/>
  <c r="L85" i="6" s="1"/>
  <c r="L89" i="6" s="1"/>
  <c r="H82" i="29"/>
  <c r="H83" i="29" s="1"/>
  <c r="H85" i="29" s="1"/>
  <c r="H89" i="29" s="1"/>
  <c r="J31" i="24"/>
  <c r="H31" i="25"/>
  <c r="L31" i="24"/>
  <c r="J26" i="24"/>
  <c r="H26" i="25"/>
  <c r="L26" i="24"/>
  <c r="L29" i="24"/>
  <c r="J29" i="24"/>
  <c r="H29" i="25"/>
  <c r="J35" i="24"/>
  <c r="L35" i="24"/>
  <c r="H35" i="25"/>
  <c r="H51" i="30"/>
  <c r="L51" i="30"/>
  <c r="J51" i="30"/>
  <c r="J58" i="35"/>
  <c r="H58" i="35"/>
  <c r="L58" i="35"/>
  <c r="F59" i="30"/>
  <c r="F64" i="30" s="1"/>
  <c r="D60" i="35"/>
  <c r="F60" i="32"/>
  <c r="F64" i="32" s="1"/>
  <c r="B59" i="33"/>
  <c r="H54" i="33"/>
  <c r="J54" i="33"/>
  <c r="L54" i="33"/>
  <c r="C60" i="28"/>
  <c r="L51" i="34"/>
  <c r="J51" i="34"/>
  <c r="H51" i="34"/>
  <c r="A60" i="28"/>
  <c r="B59" i="28"/>
  <c r="A59" i="29"/>
  <c r="A60" i="29"/>
  <c r="E59" i="30"/>
  <c r="H53" i="32"/>
  <c r="J53" i="32"/>
  <c r="L53" i="32"/>
  <c r="C59" i="33"/>
  <c r="C60" i="32"/>
  <c r="J50" i="32"/>
  <c r="L50" i="32"/>
  <c r="H50" i="32"/>
  <c r="E60" i="30"/>
  <c r="H56" i="29"/>
  <c r="L56" i="29"/>
  <c r="J56" i="29"/>
  <c r="D60" i="30"/>
  <c r="E60" i="29"/>
  <c r="A59" i="28"/>
  <c r="F60" i="34"/>
  <c r="D59" i="28"/>
  <c r="F60" i="31"/>
  <c r="J58" i="29"/>
  <c r="L58" i="29"/>
  <c r="H58" i="29"/>
  <c r="H54" i="29"/>
  <c r="L54" i="29"/>
  <c r="J54" i="29"/>
  <c r="H50" i="30"/>
  <c r="L50" i="30"/>
  <c r="J50" i="30"/>
  <c r="E60" i="34"/>
  <c r="C60" i="34"/>
  <c r="H58" i="28"/>
  <c r="J58" i="28"/>
  <c r="L58" i="28"/>
  <c r="C59" i="29"/>
  <c r="C59" i="32"/>
  <c r="B59" i="30"/>
  <c r="H58" i="33"/>
  <c r="L58" i="33"/>
  <c r="J58" i="33"/>
  <c r="B60" i="35"/>
  <c r="L57" i="33"/>
  <c r="J57" i="33"/>
  <c r="H57" i="33"/>
  <c r="H82" i="28"/>
  <c r="H83" i="28" s="1"/>
  <c r="H85" i="28" s="1"/>
  <c r="H89" i="28" s="1"/>
  <c r="J82" i="31"/>
  <c r="J83" i="31" s="1"/>
  <c r="J85" i="31" s="1"/>
  <c r="J89" i="31" s="1"/>
  <c r="J82" i="28"/>
  <c r="J83" i="28" s="1"/>
  <c r="J85" i="28" s="1"/>
  <c r="J89" i="28" s="1"/>
  <c r="J50" i="34"/>
  <c r="L50" i="34"/>
  <c r="H50" i="34"/>
  <c r="L50" i="31"/>
  <c r="H50" i="31"/>
  <c r="J50" i="31"/>
  <c r="H58" i="32"/>
  <c r="J58" i="32"/>
  <c r="L58" i="32"/>
  <c r="H56" i="34"/>
  <c r="J56" i="34"/>
  <c r="L56" i="34"/>
  <c r="J56" i="35"/>
  <c r="H56" i="35"/>
  <c r="L56" i="35"/>
  <c r="H57" i="30"/>
  <c r="J57" i="30"/>
  <c r="L57" i="30"/>
  <c r="H52" i="31"/>
  <c r="J52" i="31"/>
  <c r="L52" i="31"/>
  <c r="H54" i="35"/>
  <c r="J54" i="35"/>
  <c r="L54" i="35"/>
  <c r="H51" i="32"/>
  <c r="J51" i="32"/>
  <c r="L51" i="32"/>
  <c r="H54" i="34"/>
  <c r="L54" i="34"/>
  <c r="J54" i="34"/>
  <c r="H56" i="30"/>
  <c r="L56" i="30"/>
  <c r="J56" i="30"/>
  <c r="H59" i="32"/>
  <c r="L59" i="32"/>
  <c r="J59" i="32"/>
  <c r="J53" i="29"/>
  <c r="L53" i="29"/>
  <c r="H53" i="29"/>
  <c r="H82" i="34"/>
  <c r="H83" i="34" s="1"/>
  <c r="H85" i="34" s="1"/>
  <c r="H89" i="34" s="1"/>
  <c r="J33" i="24"/>
  <c r="L33" i="24"/>
  <c r="H33" i="25"/>
  <c r="L91" i="32"/>
  <c r="L91" i="30"/>
  <c r="J82" i="29"/>
  <c r="J83" i="29" s="1"/>
  <c r="J85" i="29" s="1"/>
  <c r="J89" i="29" s="1"/>
  <c r="L91" i="31"/>
  <c r="A59" i="31"/>
  <c r="E59" i="35"/>
  <c r="F59" i="31"/>
  <c r="D60" i="28"/>
  <c r="L51" i="31"/>
  <c r="H51" i="31"/>
  <c r="J51" i="31"/>
  <c r="B60" i="28"/>
  <c r="J51" i="35"/>
  <c r="H51" i="35"/>
  <c r="L51" i="35"/>
  <c r="A60" i="35"/>
  <c r="B59" i="31"/>
  <c r="B59" i="34"/>
  <c r="J54" i="28"/>
  <c r="H54" i="28"/>
  <c r="L54" i="28"/>
  <c r="B60" i="34"/>
  <c r="H54" i="32"/>
  <c r="L54" i="32"/>
  <c r="J54" i="32"/>
  <c r="B60" i="29"/>
  <c r="L53" i="28"/>
  <c r="H53" i="28"/>
  <c r="J53" i="28"/>
  <c r="F60" i="33"/>
  <c r="F64" i="33" s="1"/>
  <c r="E60" i="35"/>
  <c r="A59" i="34"/>
  <c r="H82" i="30"/>
  <c r="H83" i="30" s="1"/>
  <c r="H85" i="30" s="1"/>
  <c r="H89" i="30" s="1"/>
  <c r="H82" i="35"/>
  <c r="H83" i="35" s="1"/>
  <c r="H85" i="35" s="1"/>
  <c r="H89" i="35" s="1"/>
  <c r="J82" i="6"/>
  <c r="J83" i="6" s="1"/>
  <c r="J85" i="6" s="1"/>
  <c r="J89" i="6" s="1"/>
  <c r="H82" i="32"/>
  <c r="H83" i="32" s="1"/>
  <c r="H85" i="32" s="1"/>
  <c r="H89" i="32" s="1"/>
  <c r="H82" i="31"/>
  <c r="H83" i="31" s="1"/>
  <c r="H85" i="31" s="1"/>
  <c r="H89" i="31" s="1"/>
  <c r="E59" i="33"/>
  <c r="C60" i="31"/>
  <c r="E60" i="32"/>
  <c r="F60" i="35"/>
  <c r="F59" i="35"/>
  <c r="H56" i="32"/>
  <c r="L56" i="32"/>
  <c r="J56" i="32"/>
  <c r="E59" i="31"/>
  <c r="A59" i="35"/>
  <c r="H58" i="30"/>
  <c r="J58" i="30"/>
  <c r="L58" i="30"/>
  <c r="B59" i="35"/>
  <c r="D59" i="31"/>
  <c r="L52" i="35"/>
  <c r="J52" i="35"/>
  <c r="H52" i="35"/>
  <c r="D59" i="30"/>
  <c r="J52" i="28"/>
  <c r="H52" i="28"/>
  <c r="L52" i="28"/>
  <c r="L50" i="35"/>
  <c r="J50" i="35"/>
  <c r="H50" i="35"/>
  <c r="F60" i="28"/>
  <c r="F64" i="28" s="1"/>
  <c r="F60" i="29"/>
  <c r="L53" i="31"/>
  <c r="J53" i="31"/>
  <c r="H53" i="31"/>
  <c r="A59" i="33"/>
  <c r="D60" i="34"/>
  <c r="J56" i="28"/>
  <c r="L56" i="28"/>
  <c r="H56" i="28"/>
  <c r="C60" i="30"/>
  <c r="H52" i="34"/>
  <c r="J52" i="34"/>
  <c r="L52" i="34"/>
  <c r="E59" i="28"/>
  <c r="H52" i="33"/>
  <c r="J52" i="33"/>
  <c r="L52" i="33"/>
  <c r="H57" i="31"/>
  <c r="L57" i="31"/>
  <c r="J57" i="31"/>
  <c r="F59" i="29"/>
  <c r="D59" i="35"/>
  <c r="E60" i="28"/>
  <c r="D59" i="34"/>
  <c r="E60" i="31"/>
  <c r="D59" i="32"/>
  <c r="D60" i="31"/>
  <c r="J58" i="34"/>
  <c r="L58" i="34"/>
  <c r="H58" i="34"/>
  <c r="H52" i="32"/>
  <c r="L52" i="32"/>
  <c r="J52" i="32"/>
  <c r="J57" i="32"/>
  <c r="H57" i="32"/>
  <c r="L57" i="32"/>
  <c r="J39" i="24"/>
  <c r="H39" i="25"/>
  <c r="L39" i="24"/>
  <c r="L11" i="56"/>
  <c r="G13" i="56"/>
  <c r="I11" i="56"/>
  <c r="I12" i="56" s="1"/>
  <c r="L21" i="25"/>
  <c r="J21" i="25"/>
  <c r="L82" i="24"/>
  <c r="L83" i="24" s="1"/>
  <c r="L84" i="24" s="1"/>
  <c r="L86" i="24" s="1"/>
  <c r="L90" i="24" s="1"/>
  <c r="K75" i="25"/>
  <c r="L75" i="25" s="1"/>
  <c r="I75" i="25"/>
  <c r="I23" i="25"/>
  <c r="K23" i="25"/>
  <c r="I78" i="25"/>
  <c r="K78" i="25"/>
  <c r="L78" i="25" s="1"/>
  <c r="K77" i="25"/>
  <c r="L77" i="25" s="1"/>
  <c r="I77" i="25"/>
  <c r="I74" i="25"/>
  <c r="K74" i="25"/>
  <c r="L74" i="25" s="1"/>
  <c r="I76" i="25"/>
  <c r="K76" i="25"/>
  <c r="L76" i="25" s="1"/>
  <c r="M38" i="6" l="1"/>
  <c r="B37" i="6"/>
  <c r="C37" i="6"/>
  <c r="A37" i="6"/>
  <c r="F37" i="6"/>
  <c r="D37" i="6"/>
  <c r="G37" i="6" s="1"/>
  <c r="H37" i="6" s="1"/>
  <c r="E37" i="6"/>
  <c r="I43" i="22"/>
  <c r="N43" i="22"/>
  <c r="O51" i="24"/>
  <c r="E50" i="24"/>
  <c r="N50" i="24" s="1"/>
  <c r="C50" i="24"/>
  <c r="D50" i="24"/>
  <c r="F50" i="24"/>
  <c r="B50" i="24"/>
  <c r="A50" i="24"/>
  <c r="F64" i="34"/>
  <c r="J36" i="6"/>
  <c r="L36" i="6"/>
  <c r="H43" i="24"/>
  <c r="J43" i="22"/>
  <c r="L43" i="22"/>
  <c r="O45" i="22"/>
  <c r="C44" i="22"/>
  <c r="D44" i="22"/>
  <c r="K44" i="22" s="1"/>
  <c r="E44" i="22"/>
  <c r="B44" i="22"/>
  <c r="A44" i="22"/>
  <c r="F44" i="22"/>
  <c r="G42" i="24"/>
  <c r="K42" i="24"/>
  <c r="I42" i="24"/>
  <c r="O30" i="25"/>
  <c r="D29" i="25"/>
  <c r="F29" i="25"/>
  <c r="C29" i="25"/>
  <c r="B29" i="25"/>
  <c r="E29" i="25"/>
  <c r="N29" i="25" s="1"/>
  <c r="A29" i="25"/>
  <c r="I24" i="25"/>
  <c r="K24" i="25"/>
  <c r="L24" i="25" s="1"/>
  <c r="I28" i="25"/>
  <c r="K28" i="25"/>
  <c r="L28" i="25" s="1"/>
  <c r="F64" i="29"/>
  <c r="F66" i="29" s="1"/>
  <c r="K25" i="25"/>
  <c r="J25" i="25" s="1"/>
  <c r="I25" i="25"/>
  <c r="F64" i="35"/>
  <c r="F65" i="35" s="1"/>
  <c r="F64" i="31"/>
  <c r="F65" i="31" s="1"/>
  <c r="F65" i="30"/>
  <c r="F67" i="30"/>
  <c r="F66" i="30"/>
  <c r="F66" i="33"/>
  <c r="F67" i="33"/>
  <c r="F65" i="33"/>
  <c r="F67" i="32"/>
  <c r="F66" i="32"/>
  <c r="F65" i="32"/>
  <c r="G33" i="25"/>
  <c r="F66" i="28"/>
  <c r="F67" i="28"/>
  <c r="F65" i="28"/>
  <c r="J59" i="35"/>
  <c r="H59" i="35"/>
  <c r="L59" i="35"/>
  <c r="N65" i="24"/>
  <c r="H59" i="30"/>
  <c r="J59" i="30"/>
  <c r="L59" i="30"/>
  <c r="G31" i="25"/>
  <c r="J59" i="29"/>
  <c r="L59" i="29"/>
  <c r="H59" i="29"/>
  <c r="G37" i="25"/>
  <c r="G39" i="25"/>
  <c r="F65" i="34"/>
  <c r="F66" i="34"/>
  <c r="F67" i="34"/>
  <c r="L59" i="31"/>
  <c r="H59" i="31"/>
  <c r="J59" i="31"/>
  <c r="J64" i="31" s="1"/>
  <c r="G35" i="25"/>
  <c r="J60" i="33"/>
  <c r="H60" i="33"/>
  <c r="L60" i="33"/>
  <c r="H60" i="31"/>
  <c r="J60" i="31"/>
  <c r="L60" i="31"/>
  <c r="L59" i="28"/>
  <c r="J59" i="28"/>
  <c r="H59" i="28"/>
  <c r="J60" i="32"/>
  <c r="J64" i="32" s="1"/>
  <c r="L60" i="32"/>
  <c r="H60" i="32"/>
  <c r="H64" i="32" s="1"/>
  <c r="L60" i="35"/>
  <c r="H60" i="35"/>
  <c r="H64" i="35" s="1"/>
  <c r="J60" i="35"/>
  <c r="J60" i="30"/>
  <c r="J64" i="30" s="1"/>
  <c r="L60" i="30"/>
  <c r="H60" i="30"/>
  <c r="H60" i="28"/>
  <c r="H64" i="28" s="1"/>
  <c r="L60" i="28"/>
  <c r="J60" i="28"/>
  <c r="J64" i="28" s="1"/>
  <c r="L64" i="35"/>
  <c r="H59" i="33"/>
  <c r="J59" i="33"/>
  <c r="J64" i="33" s="1"/>
  <c r="L59" i="33"/>
  <c r="N65" i="22"/>
  <c r="L60" i="34"/>
  <c r="J60" i="34"/>
  <c r="H60" i="34"/>
  <c r="J60" i="29"/>
  <c r="L60" i="29"/>
  <c r="H60" i="29"/>
  <c r="H64" i="29" s="1"/>
  <c r="G29" i="25"/>
  <c r="K29" i="25"/>
  <c r="I29" i="25"/>
  <c r="G26" i="25"/>
  <c r="I26" i="25"/>
  <c r="K26" i="25"/>
  <c r="J59" i="34"/>
  <c r="H59" i="34"/>
  <c r="H64" i="34" s="1"/>
  <c r="L59" i="34"/>
  <c r="L25" i="25"/>
  <c r="L23" i="25"/>
  <c r="J23" i="25"/>
  <c r="J24" i="25"/>
  <c r="N29" i="56"/>
  <c r="N30" i="56" s="1"/>
  <c r="H14" i="56" s="1"/>
  <c r="I13" i="56"/>
  <c r="H15" i="56" s="1"/>
  <c r="L82" i="25"/>
  <c r="I82" i="25"/>
  <c r="J42" i="24" l="1"/>
  <c r="L42" i="24"/>
  <c r="H42" i="25"/>
  <c r="O46" i="22"/>
  <c r="E45" i="22"/>
  <c r="A45" i="22"/>
  <c r="D45" i="22"/>
  <c r="K45" i="22" s="1"/>
  <c r="C45" i="22"/>
  <c r="B45" i="22"/>
  <c r="F45" i="22"/>
  <c r="G43" i="24"/>
  <c r="K43" i="24"/>
  <c r="I43" i="24"/>
  <c r="N44" i="22"/>
  <c r="I44" i="22"/>
  <c r="J37" i="6"/>
  <c r="L37" i="6"/>
  <c r="O31" i="25"/>
  <c r="A30" i="25"/>
  <c r="F30" i="25"/>
  <c r="B30" i="25"/>
  <c r="E30" i="25"/>
  <c r="D30" i="25"/>
  <c r="K30" i="25" s="1"/>
  <c r="C30" i="25"/>
  <c r="H44" i="24"/>
  <c r="L44" i="22"/>
  <c r="J44" i="22"/>
  <c r="O52" i="24"/>
  <c r="E51" i="24"/>
  <c r="N51" i="24" s="1"/>
  <c r="A51" i="24"/>
  <c r="D51" i="24"/>
  <c r="C51" i="24"/>
  <c r="F51" i="24"/>
  <c r="B51" i="24"/>
  <c r="M39" i="6"/>
  <c r="E38" i="6"/>
  <c r="C38" i="6"/>
  <c r="D38" i="6"/>
  <c r="G38" i="6" s="1"/>
  <c r="B38" i="6"/>
  <c r="A38" i="6"/>
  <c r="F38" i="6"/>
  <c r="J28" i="25"/>
  <c r="F65" i="29"/>
  <c r="F67" i="29"/>
  <c r="F67" i="35"/>
  <c r="F66" i="35"/>
  <c r="J64" i="35"/>
  <c r="J67" i="35" s="1"/>
  <c r="H64" i="33"/>
  <c r="H65" i="33" s="1"/>
  <c r="F66" i="31"/>
  <c r="L64" i="6"/>
  <c r="L66" i="6" s="1"/>
  <c r="F68" i="32"/>
  <c r="F70" i="32" s="1"/>
  <c r="F87" i="32" s="1"/>
  <c r="F91" i="32" s="1"/>
  <c r="F67" i="31"/>
  <c r="J64" i="6"/>
  <c r="J66" i="6" s="1"/>
  <c r="H64" i="30"/>
  <c r="H67" i="30" s="1"/>
  <c r="H64" i="31"/>
  <c r="H66" i="31" s="1"/>
  <c r="J64" i="34"/>
  <c r="J65" i="34" s="1"/>
  <c r="H64" i="6"/>
  <c r="H67" i="6" s="1"/>
  <c r="F68" i="28"/>
  <c r="F70" i="28" s="1"/>
  <c r="F87" i="28" s="1"/>
  <c r="F91" i="28" s="1"/>
  <c r="F68" i="30"/>
  <c r="F70" i="30" s="1"/>
  <c r="F87" i="30" s="1"/>
  <c r="F91" i="30" s="1"/>
  <c r="J64" i="29"/>
  <c r="J66" i="29" s="1"/>
  <c r="H67" i="32"/>
  <c r="H65" i="32"/>
  <c r="H66" i="32"/>
  <c r="H66" i="34"/>
  <c r="H65" i="34"/>
  <c r="H67" i="34"/>
  <c r="H66" i="33"/>
  <c r="J66" i="28"/>
  <c r="J67" i="28"/>
  <c r="J65" i="28"/>
  <c r="J65" i="30"/>
  <c r="J67" i="30"/>
  <c r="J66" i="30"/>
  <c r="J66" i="35"/>
  <c r="H65" i="28"/>
  <c r="H67" i="28"/>
  <c r="H66" i="28"/>
  <c r="H66" i="29"/>
  <c r="H67" i="29"/>
  <c r="H65" i="29"/>
  <c r="J67" i="34"/>
  <c r="H65" i="35"/>
  <c r="H67" i="35"/>
  <c r="H66" i="35"/>
  <c r="L66" i="35"/>
  <c r="L67" i="35"/>
  <c r="L65" i="35"/>
  <c r="J67" i="32"/>
  <c r="J65" i="32"/>
  <c r="J66" i="32"/>
  <c r="L26" i="25"/>
  <c r="J26" i="25"/>
  <c r="J29" i="25"/>
  <c r="L29" i="25"/>
  <c r="J65" i="33"/>
  <c r="J67" i="33"/>
  <c r="J66" i="33"/>
  <c r="N66" i="22"/>
  <c r="N67" i="22"/>
  <c r="N68" i="22"/>
  <c r="N67" i="24"/>
  <c r="N66" i="24"/>
  <c r="N68" i="24"/>
  <c r="J65" i="31"/>
  <c r="J66" i="31"/>
  <c r="J67" i="31"/>
  <c r="F68" i="34"/>
  <c r="F70" i="34" s="1"/>
  <c r="F87" i="34" s="1"/>
  <c r="F91" i="34" s="1"/>
  <c r="F68" i="33"/>
  <c r="F70" i="33" s="1"/>
  <c r="F87" i="33" s="1"/>
  <c r="F91" i="33" s="1"/>
  <c r="L83" i="25"/>
  <c r="L84" i="25" s="1"/>
  <c r="L86" i="25" s="1"/>
  <c r="L90" i="25" s="1"/>
  <c r="I83" i="25"/>
  <c r="I84" i="25" s="1"/>
  <c r="I86" i="25" s="1"/>
  <c r="I90" i="25" s="1"/>
  <c r="N30" i="25" l="1"/>
  <c r="I30" i="25"/>
  <c r="O32" i="25"/>
  <c r="A31" i="25"/>
  <c r="E31" i="25"/>
  <c r="C31" i="25"/>
  <c r="F31" i="25"/>
  <c r="B31" i="25"/>
  <c r="D31" i="25"/>
  <c r="K31" i="25" s="1"/>
  <c r="L38" i="6"/>
  <c r="J38" i="6"/>
  <c r="O53" i="24"/>
  <c r="D52" i="24"/>
  <c r="C52" i="24"/>
  <c r="F52" i="24"/>
  <c r="E52" i="24"/>
  <c r="N52" i="24" s="1"/>
  <c r="A52" i="24"/>
  <c r="B52" i="24"/>
  <c r="I44" i="24"/>
  <c r="G44" i="24"/>
  <c r="K44" i="24"/>
  <c r="I45" i="22"/>
  <c r="N45" i="22"/>
  <c r="M40" i="6"/>
  <c r="B39" i="6"/>
  <c r="E39" i="6"/>
  <c r="C39" i="6"/>
  <c r="D39" i="6"/>
  <c r="A39" i="6"/>
  <c r="F39" i="6"/>
  <c r="J43" i="24"/>
  <c r="L43" i="24"/>
  <c r="H43" i="25"/>
  <c r="O47" i="22"/>
  <c r="A46" i="22"/>
  <c r="E46" i="22"/>
  <c r="F46" i="22"/>
  <c r="B46" i="22"/>
  <c r="D46" i="22"/>
  <c r="K46" i="22" s="1"/>
  <c r="C46" i="22"/>
  <c r="H38" i="6"/>
  <c r="L30" i="25"/>
  <c r="J30" i="25"/>
  <c r="J45" i="22"/>
  <c r="H45" i="24"/>
  <c r="L45" i="22"/>
  <c r="G42" i="25"/>
  <c r="F68" i="29"/>
  <c r="F70" i="29" s="1"/>
  <c r="F87" i="29" s="1"/>
  <c r="F91" i="29" s="1"/>
  <c r="J66" i="34"/>
  <c r="J65" i="35"/>
  <c r="J68" i="35" s="1"/>
  <c r="J70" i="35" s="1"/>
  <c r="J87" i="35" s="1"/>
  <c r="J91" i="35" s="1"/>
  <c r="E109" i="35" s="1"/>
  <c r="L113" i="35" s="1"/>
  <c r="H67" i="33"/>
  <c r="J65" i="6"/>
  <c r="H66" i="30"/>
  <c r="F68" i="35"/>
  <c r="F70" i="35" s="1"/>
  <c r="F87" i="35" s="1"/>
  <c r="F91" i="35" s="1"/>
  <c r="H65" i="30"/>
  <c r="H68" i="30" s="1"/>
  <c r="H70" i="30" s="1"/>
  <c r="H87" i="30" s="1"/>
  <c r="H91" i="30" s="1"/>
  <c r="F68" i="31"/>
  <c r="F70" i="31" s="1"/>
  <c r="F87" i="31" s="1"/>
  <c r="F91" i="31" s="1"/>
  <c r="H66" i="6"/>
  <c r="J67" i="29"/>
  <c r="L67" i="6"/>
  <c r="L65" i="6"/>
  <c r="L68" i="6" s="1"/>
  <c r="L70" i="6" s="1"/>
  <c r="L87" i="6" s="1"/>
  <c r="L91" i="6" s="1"/>
  <c r="L68" i="35"/>
  <c r="L70" i="35" s="1"/>
  <c r="L87" i="35" s="1"/>
  <c r="L91" i="35" s="1"/>
  <c r="H67" i="31"/>
  <c r="J68" i="28"/>
  <c r="J70" i="28" s="1"/>
  <c r="J87" i="28" s="1"/>
  <c r="J91" i="28" s="1"/>
  <c r="E102" i="28" s="1"/>
  <c r="E102" i="33" s="1"/>
  <c r="K102" i="33" s="1"/>
  <c r="J67" i="6"/>
  <c r="H65" i="6"/>
  <c r="H68" i="6" s="1"/>
  <c r="H70" i="6" s="1"/>
  <c r="H87" i="6" s="1"/>
  <c r="H91" i="6" s="1"/>
  <c r="J68" i="33"/>
  <c r="J70" i="33" s="1"/>
  <c r="J87" i="33" s="1"/>
  <c r="J91" i="33" s="1"/>
  <c r="E107" i="33" s="1"/>
  <c r="E107" i="35" s="1"/>
  <c r="K107" i="35" s="1"/>
  <c r="H65" i="31"/>
  <c r="H68" i="31" s="1"/>
  <c r="H70" i="31" s="1"/>
  <c r="H87" i="31" s="1"/>
  <c r="H91" i="31" s="1"/>
  <c r="N69" i="24"/>
  <c r="N71" i="24" s="1"/>
  <c r="N88" i="24" s="1"/>
  <c r="N92" i="24" s="1"/>
  <c r="N69" i="22"/>
  <c r="N71" i="22" s="1"/>
  <c r="N88" i="22" s="1"/>
  <c r="N92" i="22" s="1"/>
  <c r="J65" i="29"/>
  <c r="J68" i="29" s="1"/>
  <c r="J70" i="29" s="1"/>
  <c r="J87" i="29" s="1"/>
  <c r="J91" i="29" s="1"/>
  <c r="E103" i="29" s="1"/>
  <c r="E103" i="34" s="1"/>
  <c r="K103" i="34" s="1"/>
  <c r="H68" i="28"/>
  <c r="H70" i="28" s="1"/>
  <c r="H87" i="28" s="1"/>
  <c r="H91" i="28" s="1"/>
  <c r="H68" i="35"/>
  <c r="H70" i="35" s="1"/>
  <c r="H87" i="35" s="1"/>
  <c r="H91" i="35" s="1"/>
  <c r="H68" i="29"/>
  <c r="H70" i="29" s="1"/>
  <c r="H87" i="29" s="1"/>
  <c r="H91" i="29" s="1"/>
  <c r="H68" i="32"/>
  <c r="H70" i="32" s="1"/>
  <c r="H87" i="32" s="1"/>
  <c r="H91" i="32" s="1"/>
  <c r="J68" i="31"/>
  <c r="J70" i="31" s="1"/>
  <c r="J87" i="31" s="1"/>
  <c r="J91" i="31" s="1"/>
  <c r="E105" i="31" s="1"/>
  <c r="J68" i="30"/>
  <c r="J70" i="30" s="1"/>
  <c r="J87" i="30" s="1"/>
  <c r="J91" i="30" s="1"/>
  <c r="E104" i="30" s="1"/>
  <c r="H68" i="34"/>
  <c r="H70" i="34" s="1"/>
  <c r="H87" i="34" s="1"/>
  <c r="H91" i="34" s="1"/>
  <c r="J68" i="32"/>
  <c r="J70" i="32" s="1"/>
  <c r="J87" i="32" s="1"/>
  <c r="J91" i="32" s="1"/>
  <c r="E106" i="32" s="1"/>
  <c r="J68" i="34"/>
  <c r="J70" i="34" s="1"/>
  <c r="J87" i="34" s="1"/>
  <c r="J91" i="34" s="1"/>
  <c r="E108" i="34" s="1"/>
  <c r="H68" i="33"/>
  <c r="H70" i="33" s="1"/>
  <c r="H87" i="33" s="1"/>
  <c r="H91" i="33" s="1"/>
  <c r="O48" i="22" l="1"/>
  <c r="D47" i="22"/>
  <c r="K47" i="22" s="1"/>
  <c r="F47" i="22"/>
  <c r="B47" i="22"/>
  <c r="A47" i="22"/>
  <c r="C47" i="22"/>
  <c r="E47" i="22"/>
  <c r="G45" i="24"/>
  <c r="I45" i="24"/>
  <c r="K45" i="24"/>
  <c r="G43" i="25"/>
  <c r="L44" i="24"/>
  <c r="J44" i="24"/>
  <c r="H44" i="25"/>
  <c r="L31" i="25"/>
  <c r="J31" i="25"/>
  <c r="N31" i="25"/>
  <c r="I31" i="25"/>
  <c r="I46" i="22"/>
  <c r="N46" i="22"/>
  <c r="M41" i="6"/>
  <c r="A40" i="6"/>
  <c r="D40" i="6"/>
  <c r="G40" i="6" s="1"/>
  <c r="H40" i="6" s="1"/>
  <c r="C40" i="6"/>
  <c r="B40" i="6"/>
  <c r="E40" i="6"/>
  <c r="F40" i="6"/>
  <c r="O54" i="24"/>
  <c r="B53" i="24"/>
  <c r="E53" i="24"/>
  <c r="N53" i="24" s="1"/>
  <c r="F53" i="24"/>
  <c r="D53" i="24"/>
  <c r="A53" i="24"/>
  <c r="C53" i="24"/>
  <c r="H46" i="24"/>
  <c r="J46" i="22"/>
  <c r="L46" i="22"/>
  <c r="O33" i="25"/>
  <c r="C32" i="25"/>
  <c r="B32" i="25"/>
  <c r="F32" i="25"/>
  <c r="D32" i="25"/>
  <c r="K32" i="25" s="1"/>
  <c r="A32" i="25"/>
  <c r="E32" i="25"/>
  <c r="E103" i="35"/>
  <c r="K103" i="35" s="1"/>
  <c r="K103" i="29"/>
  <c r="L108" i="29" s="1"/>
  <c r="E102" i="29"/>
  <c r="K102" i="29" s="1"/>
  <c r="E102" i="32"/>
  <c r="K102" i="32" s="1"/>
  <c r="J68" i="6"/>
  <c r="J70" i="6" s="1"/>
  <c r="J87" i="6" s="1"/>
  <c r="J91" i="6" s="1"/>
  <c r="E99" i="6" s="1"/>
  <c r="E100" i="6" s="1"/>
  <c r="F106" i="6" s="1"/>
  <c r="L106" i="28"/>
  <c r="E102" i="35"/>
  <c r="K102" i="35" s="1"/>
  <c r="E102" i="34"/>
  <c r="K102" i="34" s="1"/>
  <c r="E102" i="30"/>
  <c r="K102" i="30" s="1"/>
  <c r="K102" i="28"/>
  <c r="L107" i="28" s="1"/>
  <c r="K107" i="33"/>
  <c r="L112" i="33" s="1"/>
  <c r="E102" i="31"/>
  <c r="K102" i="31" s="1"/>
  <c r="E103" i="30"/>
  <c r="K103" i="30" s="1"/>
  <c r="E103" i="32"/>
  <c r="K103" i="32" s="1"/>
  <c r="L107" i="29"/>
  <c r="E103" i="33"/>
  <c r="K103" i="33" s="1"/>
  <c r="E99" i="29"/>
  <c r="E99" i="33"/>
  <c r="K99" i="33" s="1"/>
  <c r="L111" i="33"/>
  <c r="E107" i="34"/>
  <c r="K107" i="34" s="1"/>
  <c r="E103" i="31"/>
  <c r="K103" i="31" s="1"/>
  <c r="L112" i="34"/>
  <c r="K108" i="34"/>
  <c r="L113" i="34" s="1"/>
  <c r="E108" i="35"/>
  <c r="K108" i="35" s="1"/>
  <c r="E105" i="35"/>
  <c r="K105" i="35" s="1"/>
  <c r="L109" i="31"/>
  <c r="E105" i="34"/>
  <c r="K105" i="34" s="1"/>
  <c r="E105" i="33"/>
  <c r="K105" i="33" s="1"/>
  <c r="E105" i="32"/>
  <c r="K105" i="32" s="1"/>
  <c r="K105" i="31"/>
  <c r="L110" i="31" s="1"/>
  <c r="L110" i="32"/>
  <c r="K106" i="32"/>
  <c r="L111" i="32" s="1"/>
  <c r="E106" i="35"/>
  <c r="K106" i="35" s="1"/>
  <c r="E106" i="34"/>
  <c r="K106" i="34" s="1"/>
  <c r="E106" i="33"/>
  <c r="K106" i="33" s="1"/>
  <c r="L108" i="30"/>
  <c r="E104" i="33"/>
  <c r="K104" i="33" s="1"/>
  <c r="E104" i="35"/>
  <c r="K104" i="35" s="1"/>
  <c r="E104" i="31"/>
  <c r="K104" i="31" s="1"/>
  <c r="K104" i="30"/>
  <c r="L109" i="30" s="1"/>
  <c r="E104" i="34"/>
  <c r="K104" i="34" s="1"/>
  <c r="E104" i="32"/>
  <c r="K104" i="32" s="1"/>
  <c r="N32" i="25" l="1"/>
  <c r="I32" i="25"/>
  <c r="M42" i="6"/>
  <c r="F41" i="6"/>
  <c r="A41" i="6"/>
  <c r="D41" i="6"/>
  <c r="G41" i="6" s="1"/>
  <c r="H41" i="6" s="1"/>
  <c r="B41" i="6"/>
  <c r="E41" i="6"/>
  <c r="C41" i="6"/>
  <c r="N47" i="22"/>
  <c r="I47" i="22"/>
  <c r="L110" i="29"/>
  <c r="O55" i="24"/>
  <c r="F54" i="24"/>
  <c r="A54" i="24"/>
  <c r="E54" i="24"/>
  <c r="N54" i="24" s="1"/>
  <c r="B54" i="24"/>
  <c r="C54" i="24"/>
  <c r="D54" i="24"/>
  <c r="J45" i="24"/>
  <c r="L45" i="24"/>
  <c r="H45" i="25"/>
  <c r="J47" i="22"/>
  <c r="H47" i="24"/>
  <c r="L47" i="22"/>
  <c r="J32" i="25"/>
  <c r="L32" i="25"/>
  <c r="O34" i="25"/>
  <c r="C33" i="25"/>
  <c r="E33" i="25"/>
  <c r="B33" i="25"/>
  <c r="A33" i="25"/>
  <c r="D33" i="25"/>
  <c r="K33" i="25" s="1"/>
  <c r="F33" i="25"/>
  <c r="I46" i="24"/>
  <c r="K46" i="24"/>
  <c r="G46" i="24"/>
  <c r="O49" i="22"/>
  <c r="C48" i="22"/>
  <c r="A48" i="22"/>
  <c r="D48" i="22"/>
  <c r="K48" i="22" s="1"/>
  <c r="B48" i="22"/>
  <c r="F48" i="22"/>
  <c r="E48" i="22"/>
  <c r="J40" i="6"/>
  <c r="L40" i="6"/>
  <c r="G44" i="25"/>
  <c r="E104" i="29"/>
  <c r="F110" i="29" s="1"/>
  <c r="E99" i="32"/>
  <c r="E108" i="32" s="1"/>
  <c r="E99" i="35"/>
  <c r="E111" i="35" s="1"/>
  <c r="E99" i="30"/>
  <c r="K99" i="30" s="1"/>
  <c r="K106" i="30" s="1"/>
  <c r="E99" i="28"/>
  <c r="E104" i="28" s="1"/>
  <c r="K99" i="6"/>
  <c r="K100" i="6" s="1"/>
  <c r="F105" i="6" s="1"/>
  <c r="F104" i="6"/>
  <c r="F107" i="6" s="1"/>
  <c r="E99" i="34"/>
  <c r="E110" i="34" s="1"/>
  <c r="L103" i="6"/>
  <c r="E99" i="31"/>
  <c r="E107" i="31" s="1"/>
  <c r="L114" i="33"/>
  <c r="K99" i="35"/>
  <c r="K109" i="35" s="1"/>
  <c r="L114" i="35" s="1"/>
  <c r="L116" i="35" s="1"/>
  <c r="F108" i="29"/>
  <c r="F111" i="29" s="1"/>
  <c r="E109" i="33"/>
  <c r="L109" i="28"/>
  <c r="L104" i="6"/>
  <c r="K99" i="29"/>
  <c r="K104" i="29" s="1"/>
  <c r="F109" i="29" s="1"/>
  <c r="K99" i="32"/>
  <c r="K108" i="32" s="1"/>
  <c r="E105" i="29"/>
  <c r="F112" i="33"/>
  <c r="F115" i="33" s="1"/>
  <c r="E101" i="6"/>
  <c r="L113" i="32"/>
  <c r="F114" i="35"/>
  <c r="F117" i="35" s="1"/>
  <c r="L115" i="34"/>
  <c r="L111" i="30"/>
  <c r="K108" i="33"/>
  <c r="F113" i="33" s="1"/>
  <c r="K109" i="33"/>
  <c r="E108" i="33"/>
  <c r="F114" i="33" s="1"/>
  <c r="L112" i="31"/>
  <c r="O50" i="22" l="1"/>
  <c r="B49" i="22"/>
  <c r="A49" i="22"/>
  <c r="E49" i="22"/>
  <c r="D49" i="22"/>
  <c r="C49" i="22"/>
  <c r="F49" i="22"/>
  <c r="M43" i="6"/>
  <c r="A42" i="6"/>
  <c r="F42" i="6"/>
  <c r="E42" i="6"/>
  <c r="B42" i="6"/>
  <c r="D42" i="6"/>
  <c r="G42" i="6" s="1"/>
  <c r="H42" i="6" s="1"/>
  <c r="C42" i="6"/>
  <c r="K99" i="31"/>
  <c r="K106" i="31" s="1"/>
  <c r="F111" i="31" s="1"/>
  <c r="J48" i="22"/>
  <c r="H48" i="24"/>
  <c r="L48" i="22"/>
  <c r="J33" i="25"/>
  <c r="L33" i="25"/>
  <c r="G45" i="25"/>
  <c r="E107" i="32"/>
  <c r="F113" i="32" s="1"/>
  <c r="F111" i="32"/>
  <c r="F114" i="32" s="1"/>
  <c r="F110" i="31"/>
  <c r="F113" i="31" s="1"/>
  <c r="I48" i="22"/>
  <c r="N48" i="22"/>
  <c r="L46" i="24"/>
  <c r="J46" i="24"/>
  <c r="H46" i="25"/>
  <c r="F34" i="25"/>
  <c r="O35" i="25"/>
  <c r="E34" i="25"/>
  <c r="A34" i="25"/>
  <c r="C34" i="25"/>
  <c r="D34" i="25"/>
  <c r="K34" i="25" s="1"/>
  <c r="B34" i="25"/>
  <c r="O56" i="24"/>
  <c r="B55" i="24"/>
  <c r="F55" i="24"/>
  <c r="A55" i="24"/>
  <c r="C55" i="24"/>
  <c r="E55" i="24"/>
  <c r="N55" i="24" s="1"/>
  <c r="D55" i="24"/>
  <c r="N33" i="25"/>
  <c r="I33" i="25"/>
  <c r="G47" i="24"/>
  <c r="K47" i="24"/>
  <c r="I47" i="24"/>
  <c r="J41" i="6"/>
  <c r="L41" i="6"/>
  <c r="E110" i="35"/>
  <c r="F116" i="35" s="1"/>
  <c r="F113" i="34"/>
  <c r="F116" i="34" s="1"/>
  <c r="E109" i="34"/>
  <c r="F115" i="34" s="1"/>
  <c r="E106" i="30"/>
  <c r="E103" i="28"/>
  <c r="F109" i="28" s="1"/>
  <c r="K105" i="30"/>
  <c r="F110" i="30" s="1"/>
  <c r="E105" i="30"/>
  <c r="F111" i="30" s="1"/>
  <c r="E106" i="31"/>
  <c r="F112" i="31" s="1"/>
  <c r="F109" i="30"/>
  <c r="F112" i="30" s="1"/>
  <c r="K99" i="34"/>
  <c r="L106" i="6"/>
  <c r="F107" i="28"/>
  <c r="F110" i="28" s="1"/>
  <c r="K99" i="28"/>
  <c r="K101" i="6"/>
  <c r="K111" i="35"/>
  <c r="K105" i="29"/>
  <c r="K107" i="32"/>
  <c r="F112" i="32" s="1"/>
  <c r="K107" i="31"/>
  <c r="K110" i="35"/>
  <c r="F115" i="35" s="1"/>
  <c r="L34" i="25" l="1"/>
  <c r="J34" i="25"/>
  <c r="O36" i="25"/>
  <c r="A35" i="25"/>
  <c r="B35" i="25"/>
  <c r="E35" i="25"/>
  <c r="F35" i="25"/>
  <c r="C35" i="25"/>
  <c r="D35" i="25"/>
  <c r="K35" i="25" s="1"/>
  <c r="O57" i="24"/>
  <c r="E56" i="24"/>
  <c r="A56" i="24"/>
  <c r="B56" i="24"/>
  <c r="C56" i="24"/>
  <c r="D56" i="24"/>
  <c r="F56" i="24"/>
  <c r="G46" i="25"/>
  <c r="M44" i="6"/>
  <c r="A43" i="6"/>
  <c r="F43" i="6"/>
  <c r="C43" i="6"/>
  <c r="B43" i="6"/>
  <c r="E43" i="6"/>
  <c r="D43" i="6"/>
  <c r="G43" i="6" s="1"/>
  <c r="H43" i="6" s="1"/>
  <c r="N34" i="25"/>
  <c r="I34" i="25"/>
  <c r="L42" i="6"/>
  <c r="J42" i="6"/>
  <c r="J47" i="24"/>
  <c r="L47" i="24"/>
  <c r="H47" i="25"/>
  <c r="G48" i="24"/>
  <c r="K48" i="24"/>
  <c r="I48" i="24"/>
  <c r="O51" i="22"/>
  <c r="B50" i="22"/>
  <c r="D50" i="22"/>
  <c r="K50" i="22" s="1"/>
  <c r="A50" i="22"/>
  <c r="F50" i="22"/>
  <c r="C50" i="22"/>
  <c r="E50" i="22"/>
  <c r="K109" i="34"/>
  <c r="F114" i="34" s="1"/>
  <c r="K110" i="34"/>
  <c r="K103" i="28"/>
  <c r="F108" i="28" s="1"/>
  <c r="K104" i="28"/>
  <c r="N35" i="25" l="1"/>
  <c r="I35" i="25"/>
  <c r="O52" i="22"/>
  <c r="C51" i="22"/>
  <c r="D51" i="22"/>
  <c r="K51" i="22" s="1"/>
  <c r="A51" i="22"/>
  <c r="F51" i="22"/>
  <c r="B51" i="22"/>
  <c r="E51" i="22"/>
  <c r="G47" i="25"/>
  <c r="J43" i="6"/>
  <c r="L43" i="6"/>
  <c r="M45" i="6"/>
  <c r="F44" i="6"/>
  <c r="A44" i="6"/>
  <c r="C44" i="6"/>
  <c r="D44" i="6"/>
  <c r="G44" i="6" s="1"/>
  <c r="E44" i="6"/>
  <c r="B44" i="6"/>
  <c r="L50" i="22"/>
  <c r="N50" i="22"/>
  <c r="I50" i="22"/>
  <c r="J50" i="22"/>
  <c r="H50" i="24"/>
  <c r="J48" i="24"/>
  <c r="L48" i="24"/>
  <c r="H48" i="25"/>
  <c r="O37" i="25"/>
  <c r="E36" i="25"/>
  <c r="B36" i="25"/>
  <c r="F36" i="25"/>
  <c r="C36" i="25"/>
  <c r="D36" i="25"/>
  <c r="K36" i="25" s="1"/>
  <c r="A36" i="25"/>
  <c r="O58" i="24"/>
  <c r="E57" i="24"/>
  <c r="N57" i="24" s="1"/>
  <c r="C57" i="24"/>
  <c r="D57" i="24"/>
  <c r="B57" i="24"/>
  <c r="A57" i="24"/>
  <c r="F57" i="24"/>
  <c r="L35" i="25"/>
  <c r="J35" i="25"/>
  <c r="L36" i="25" l="1"/>
  <c r="J36" i="25"/>
  <c r="N36" i="25"/>
  <c r="I36" i="25"/>
  <c r="L44" i="6"/>
  <c r="J44" i="6"/>
  <c r="O38" i="25"/>
  <c r="E37" i="25"/>
  <c r="D37" i="25"/>
  <c r="K37" i="25" s="1"/>
  <c r="A37" i="25"/>
  <c r="B37" i="25"/>
  <c r="C37" i="25"/>
  <c r="F37" i="25"/>
  <c r="H44" i="6"/>
  <c r="M46" i="6"/>
  <c r="B45" i="6"/>
  <c r="F45" i="6"/>
  <c r="C45" i="6"/>
  <c r="E45" i="6"/>
  <c r="D45" i="6"/>
  <c r="G45" i="6" s="1"/>
  <c r="H45" i="6" s="1"/>
  <c r="A45" i="6"/>
  <c r="O53" i="22"/>
  <c r="A52" i="22"/>
  <c r="B52" i="22"/>
  <c r="D52" i="22"/>
  <c r="K52" i="22" s="1"/>
  <c r="C52" i="22"/>
  <c r="E52" i="22"/>
  <c r="F52" i="22"/>
  <c r="O59" i="24"/>
  <c r="B58" i="24"/>
  <c r="F58" i="24"/>
  <c r="A58" i="24"/>
  <c r="D58" i="24"/>
  <c r="C58" i="24"/>
  <c r="E58" i="24"/>
  <c r="N58" i="24" s="1"/>
  <c r="G48" i="25"/>
  <c r="I50" i="24"/>
  <c r="K50" i="24"/>
  <c r="G50" i="24"/>
  <c r="I51" i="22"/>
  <c r="N51" i="22"/>
  <c r="L51" i="22"/>
  <c r="J51" i="22"/>
  <c r="H51" i="24"/>
  <c r="N37" i="25" l="1"/>
  <c r="I37" i="25"/>
  <c r="I52" i="22"/>
  <c r="N52" i="22"/>
  <c r="J45" i="6"/>
  <c r="L45" i="6"/>
  <c r="M47" i="6"/>
  <c r="D46" i="6"/>
  <c r="G46" i="6" s="1"/>
  <c r="H46" i="6" s="1"/>
  <c r="A46" i="6"/>
  <c r="F46" i="6"/>
  <c r="E46" i="6"/>
  <c r="B46" i="6"/>
  <c r="C46" i="6"/>
  <c r="O39" i="25"/>
  <c r="F38" i="25"/>
  <c r="D38" i="25"/>
  <c r="K38" i="25" s="1"/>
  <c r="C38" i="25"/>
  <c r="A38" i="25"/>
  <c r="B38" i="25"/>
  <c r="E38" i="25"/>
  <c r="K51" i="24"/>
  <c r="I51" i="24"/>
  <c r="G51" i="24"/>
  <c r="O54" i="22"/>
  <c r="A53" i="22"/>
  <c r="D53" i="22"/>
  <c r="K53" i="22" s="1"/>
  <c r="B53" i="22"/>
  <c r="C53" i="22"/>
  <c r="F53" i="22"/>
  <c r="E53" i="22"/>
  <c r="J50" i="24"/>
  <c r="L50" i="24"/>
  <c r="H50" i="25"/>
  <c r="O60" i="24"/>
  <c r="B59" i="24"/>
  <c r="D59" i="24"/>
  <c r="A59" i="24"/>
  <c r="C59" i="24"/>
  <c r="F59" i="24"/>
  <c r="E59" i="24"/>
  <c r="N59" i="24" s="1"/>
  <c r="L52" i="22"/>
  <c r="H52" i="24"/>
  <c r="J52" i="22"/>
  <c r="L37" i="25"/>
  <c r="J37" i="25"/>
  <c r="G52" i="24" l="1"/>
  <c r="K52" i="24"/>
  <c r="I52" i="24"/>
  <c r="O61" i="24"/>
  <c r="B60" i="24"/>
  <c r="A60" i="24"/>
  <c r="E60" i="24"/>
  <c r="N60" i="24" s="1"/>
  <c r="F60" i="24"/>
  <c r="D60" i="24"/>
  <c r="C60" i="24"/>
  <c r="N53" i="22"/>
  <c r="I53" i="22"/>
  <c r="O40" i="25"/>
  <c r="A39" i="25"/>
  <c r="E39" i="25"/>
  <c r="D39" i="25"/>
  <c r="K39" i="25" s="1"/>
  <c r="F39" i="25"/>
  <c r="B39" i="25"/>
  <c r="C39" i="25"/>
  <c r="G50" i="25"/>
  <c r="O55" i="22"/>
  <c r="B54" i="22"/>
  <c r="E54" i="22"/>
  <c r="F54" i="22"/>
  <c r="A54" i="22"/>
  <c r="C54" i="22"/>
  <c r="D54" i="22"/>
  <c r="K54" i="22" s="1"/>
  <c r="N38" i="25"/>
  <c r="I38" i="25"/>
  <c r="J38" i="25"/>
  <c r="L38" i="25"/>
  <c r="J46" i="6"/>
  <c r="L46" i="6"/>
  <c r="M48" i="6"/>
  <c r="E47" i="6"/>
  <c r="C47" i="6"/>
  <c r="F47" i="6"/>
  <c r="B47" i="6"/>
  <c r="A47" i="6"/>
  <c r="D47" i="6"/>
  <c r="G47" i="6" s="1"/>
  <c r="H47" i="6" s="1"/>
  <c r="L53" i="22"/>
  <c r="H53" i="24"/>
  <c r="J53" i="22"/>
  <c r="J51" i="24"/>
  <c r="L51" i="24"/>
  <c r="H51" i="25"/>
  <c r="J52" i="24" l="1"/>
  <c r="L52" i="24"/>
  <c r="H52" i="25"/>
  <c r="G51" i="25"/>
  <c r="L47" i="6"/>
  <c r="J47" i="6"/>
  <c r="L54" i="22"/>
  <c r="J54" i="22"/>
  <c r="H54" i="24"/>
  <c r="N54" i="22"/>
  <c r="I54" i="22"/>
  <c r="A40" i="25"/>
  <c r="O41" i="25"/>
  <c r="B40" i="25"/>
  <c r="C40" i="25"/>
  <c r="D40" i="25"/>
  <c r="F40" i="25"/>
  <c r="E40" i="25"/>
  <c r="K53" i="24"/>
  <c r="G53" i="24"/>
  <c r="I53" i="24"/>
  <c r="M49" i="6"/>
  <c r="F48" i="6"/>
  <c r="D48" i="6"/>
  <c r="B48" i="6"/>
  <c r="C48" i="6"/>
  <c r="E48" i="6"/>
  <c r="A48" i="6"/>
  <c r="J39" i="25"/>
  <c r="L39" i="25"/>
  <c r="A61" i="24"/>
  <c r="F61" i="24"/>
  <c r="F65" i="24" s="1"/>
  <c r="C61" i="24"/>
  <c r="D61" i="24"/>
  <c r="B61" i="24"/>
  <c r="E61" i="24"/>
  <c r="N61" i="24" s="1"/>
  <c r="O56" i="22"/>
  <c r="F55" i="22"/>
  <c r="E55" i="22"/>
  <c r="B55" i="22"/>
  <c r="D55" i="22"/>
  <c r="K55" i="22" s="1"/>
  <c r="C55" i="22"/>
  <c r="A55" i="22"/>
  <c r="N39" i="25"/>
  <c r="I39" i="25"/>
  <c r="N55" i="22" l="1"/>
  <c r="I55" i="22"/>
  <c r="M50" i="6"/>
  <c r="C49" i="6"/>
  <c r="E49" i="6"/>
  <c r="F49" i="6"/>
  <c r="D49" i="6"/>
  <c r="G49" i="6" s="1"/>
  <c r="B49" i="6"/>
  <c r="A49" i="6"/>
  <c r="J55" i="22"/>
  <c r="H55" i="24"/>
  <c r="L55" i="22"/>
  <c r="O57" i="22"/>
  <c r="A56" i="22"/>
  <c r="B56" i="22"/>
  <c r="D56" i="22"/>
  <c r="C56" i="22"/>
  <c r="F56" i="22"/>
  <c r="E56" i="22"/>
  <c r="O42" i="25"/>
  <c r="A41" i="25"/>
  <c r="F41" i="25"/>
  <c r="C41" i="25"/>
  <c r="B41" i="25"/>
  <c r="E41" i="25"/>
  <c r="D41" i="25"/>
  <c r="K41" i="25" s="1"/>
  <c r="F67" i="24"/>
  <c r="F68" i="24"/>
  <c r="F66" i="24"/>
  <c r="F69" i="24" s="1"/>
  <c r="F71" i="24" s="1"/>
  <c r="F88" i="24" s="1"/>
  <c r="F92" i="24" s="1"/>
  <c r="K54" i="24"/>
  <c r="I54" i="24"/>
  <c r="G54" i="24"/>
  <c r="G52" i="25"/>
  <c r="L53" i="24"/>
  <c r="J53" i="24"/>
  <c r="H53" i="25"/>
  <c r="N41" i="25" l="1"/>
  <c r="I41" i="25"/>
  <c r="O58" i="22"/>
  <c r="F57" i="22"/>
  <c r="B57" i="22"/>
  <c r="E57" i="22"/>
  <c r="D57" i="22"/>
  <c r="K57" i="22" s="1"/>
  <c r="A57" i="22"/>
  <c r="C57" i="22"/>
  <c r="G53" i="25"/>
  <c r="J54" i="24"/>
  <c r="L54" i="24"/>
  <c r="H54" i="25"/>
  <c r="J41" i="25"/>
  <c r="L41" i="25"/>
  <c r="G55" i="24"/>
  <c r="K55" i="24"/>
  <c r="I55" i="24"/>
  <c r="H49" i="6"/>
  <c r="M51" i="6"/>
  <c r="D50" i="6"/>
  <c r="G50" i="6" s="1"/>
  <c r="F50" i="6"/>
  <c r="B50" i="6"/>
  <c r="E50" i="6"/>
  <c r="A50" i="6"/>
  <c r="C50" i="6"/>
  <c r="O43" i="25"/>
  <c r="C42" i="25"/>
  <c r="B42" i="25"/>
  <c r="E42" i="25"/>
  <c r="A42" i="25"/>
  <c r="F42" i="25"/>
  <c r="D42" i="25"/>
  <c r="K42" i="25" s="1"/>
  <c r="J49" i="6"/>
  <c r="L49" i="6"/>
  <c r="J50" i="6" l="1"/>
  <c r="L50" i="6"/>
  <c r="I57" i="22"/>
  <c r="N57" i="22"/>
  <c r="O44" i="25"/>
  <c r="D43" i="25"/>
  <c r="K43" i="25" s="1"/>
  <c r="F43" i="25"/>
  <c r="E43" i="25"/>
  <c r="C43" i="25"/>
  <c r="B43" i="25"/>
  <c r="A43" i="25"/>
  <c r="N42" i="25"/>
  <c r="I42" i="25"/>
  <c r="L42" i="25"/>
  <c r="J42" i="25"/>
  <c r="H50" i="6"/>
  <c r="L55" i="24"/>
  <c r="J55" i="24"/>
  <c r="H55" i="25"/>
  <c r="G54" i="25"/>
  <c r="L57" i="22"/>
  <c r="H57" i="24"/>
  <c r="J57" i="22"/>
  <c r="O59" i="22"/>
  <c r="F58" i="22"/>
  <c r="E58" i="22"/>
  <c r="D58" i="22"/>
  <c r="K58" i="22" s="1"/>
  <c r="A58" i="22"/>
  <c r="B58" i="22"/>
  <c r="C58" i="22"/>
  <c r="M52" i="6"/>
  <c r="A51" i="6"/>
  <c r="C51" i="6"/>
  <c r="D51" i="6"/>
  <c r="G51" i="6" s="1"/>
  <c r="E51" i="6"/>
  <c r="B51" i="6"/>
  <c r="F51" i="6"/>
  <c r="H58" i="24" l="1"/>
  <c r="J58" i="22"/>
  <c r="L58" i="22"/>
  <c r="I57" i="24"/>
  <c r="K57" i="24"/>
  <c r="G57" i="24"/>
  <c r="N43" i="25"/>
  <c r="I43" i="25"/>
  <c r="O60" i="22"/>
  <c r="F59" i="22"/>
  <c r="D59" i="22"/>
  <c r="K59" i="22" s="1"/>
  <c r="B59" i="22"/>
  <c r="C59" i="22"/>
  <c r="E59" i="22"/>
  <c r="A59" i="22"/>
  <c r="G55" i="25"/>
  <c r="J51" i="6"/>
  <c r="L51" i="6"/>
  <c r="M53" i="6"/>
  <c r="D52" i="6"/>
  <c r="G52" i="6" s="1"/>
  <c r="B52" i="6"/>
  <c r="F52" i="6"/>
  <c r="C52" i="6"/>
  <c r="E52" i="6"/>
  <c r="A52" i="6"/>
  <c r="L43" i="25"/>
  <c r="J43" i="25"/>
  <c r="H51" i="6"/>
  <c r="I58" i="22"/>
  <c r="N58" i="22"/>
  <c r="O45" i="25"/>
  <c r="D44" i="25"/>
  <c r="K44" i="25" s="1"/>
  <c r="E44" i="25"/>
  <c r="F44" i="25"/>
  <c r="B44" i="25"/>
  <c r="A44" i="25"/>
  <c r="C44" i="25"/>
  <c r="J59" i="22" l="1"/>
  <c r="L59" i="22"/>
  <c r="H59" i="24"/>
  <c r="L44" i="25"/>
  <c r="J44" i="25"/>
  <c r="L52" i="6"/>
  <c r="J52" i="6"/>
  <c r="H52" i="6"/>
  <c r="N59" i="22"/>
  <c r="I59" i="22"/>
  <c r="N44" i="25"/>
  <c r="I44" i="25"/>
  <c r="O46" i="25"/>
  <c r="D45" i="25"/>
  <c r="K45" i="25" s="1"/>
  <c r="E45" i="25"/>
  <c r="C45" i="25"/>
  <c r="B45" i="25"/>
  <c r="F45" i="25"/>
  <c r="A45" i="25"/>
  <c r="M54" i="6"/>
  <c r="B53" i="6"/>
  <c r="C53" i="6"/>
  <c r="F53" i="6"/>
  <c r="E53" i="6"/>
  <c r="A53" i="6"/>
  <c r="D53" i="6"/>
  <c r="G53" i="6" s="1"/>
  <c r="O61" i="22"/>
  <c r="D60" i="22"/>
  <c r="K60" i="22" s="1"/>
  <c r="E60" i="22"/>
  <c r="B60" i="22"/>
  <c r="C60" i="22"/>
  <c r="F60" i="22"/>
  <c r="A60" i="22"/>
  <c r="J57" i="24"/>
  <c r="L57" i="24"/>
  <c r="H57" i="25"/>
  <c r="G58" i="24"/>
  <c r="I58" i="24"/>
  <c r="K58" i="24"/>
  <c r="N60" i="22" l="1"/>
  <c r="I60" i="22"/>
  <c r="G57" i="25"/>
  <c r="L60" i="22"/>
  <c r="J60" i="22"/>
  <c r="H60" i="24"/>
  <c r="J58" i="24"/>
  <c r="L58" i="24"/>
  <c r="H58" i="25"/>
  <c r="C61" i="22"/>
  <c r="D61" i="22"/>
  <c r="K61" i="22" s="1"/>
  <c r="B61" i="22"/>
  <c r="F61" i="22"/>
  <c r="F65" i="22" s="1"/>
  <c r="E61" i="22"/>
  <c r="A61" i="22"/>
  <c r="N45" i="25"/>
  <c r="I45" i="25"/>
  <c r="H53" i="6"/>
  <c r="J45" i="25"/>
  <c r="L45" i="25"/>
  <c r="I59" i="24"/>
  <c r="G59" i="24"/>
  <c r="K59" i="24"/>
  <c r="O47" i="25"/>
  <c r="F46" i="25"/>
  <c r="E46" i="25"/>
  <c r="C46" i="25"/>
  <c r="B46" i="25"/>
  <c r="D46" i="25"/>
  <c r="K46" i="25" s="1"/>
  <c r="A46" i="25"/>
  <c r="L53" i="6"/>
  <c r="J53" i="6"/>
  <c r="M55" i="6"/>
  <c r="F54" i="6"/>
  <c r="D54" i="6"/>
  <c r="G54" i="6" s="1"/>
  <c r="C54" i="6"/>
  <c r="E54" i="6"/>
  <c r="A54" i="6"/>
  <c r="B54" i="6"/>
  <c r="L54" i="6" l="1"/>
  <c r="J54" i="6"/>
  <c r="M56" i="6"/>
  <c r="C55" i="6"/>
  <c r="A55" i="6"/>
  <c r="B55" i="6"/>
  <c r="E55" i="6"/>
  <c r="D55" i="6"/>
  <c r="F55" i="6"/>
  <c r="G58" i="25"/>
  <c r="G60" i="24"/>
  <c r="I60" i="24"/>
  <c r="K60" i="24"/>
  <c r="H54" i="6"/>
  <c r="L59" i="24"/>
  <c r="J59" i="24"/>
  <c r="H59" i="25"/>
  <c r="J61" i="22"/>
  <c r="H61" i="24"/>
  <c r="L61" i="22"/>
  <c r="L65" i="22" s="1"/>
  <c r="L46" i="25"/>
  <c r="J46" i="25"/>
  <c r="F66" i="22"/>
  <c r="F68" i="22"/>
  <c r="F67" i="22"/>
  <c r="O48" i="25"/>
  <c r="B47" i="25"/>
  <c r="E47" i="25"/>
  <c r="D47" i="25"/>
  <c r="K47" i="25" s="1"/>
  <c r="A47" i="25"/>
  <c r="C47" i="25"/>
  <c r="F47" i="25"/>
  <c r="N46" i="25"/>
  <c r="I46" i="25"/>
  <c r="N61" i="22"/>
  <c r="I61" i="22"/>
  <c r="I65" i="22" s="1"/>
  <c r="J47" i="25" l="1"/>
  <c r="L47" i="25"/>
  <c r="I67" i="22"/>
  <c r="I68" i="22"/>
  <c r="I66" i="22"/>
  <c r="I69" i="22" s="1"/>
  <c r="I71" i="22" s="1"/>
  <c r="I88" i="22" s="1"/>
  <c r="I92" i="22" s="1"/>
  <c r="N47" i="25"/>
  <c r="I47" i="25"/>
  <c r="G59" i="25"/>
  <c r="L60" i="24"/>
  <c r="J60" i="24"/>
  <c r="H60" i="25"/>
  <c r="M57" i="6"/>
  <c r="E56" i="6"/>
  <c r="C56" i="6"/>
  <c r="D56" i="6"/>
  <c r="G56" i="6" s="1"/>
  <c r="H56" i="6" s="1"/>
  <c r="A56" i="6"/>
  <c r="B56" i="6"/>
  <c r="F56" i="6"/>
  <c r="F69" i="22"/>
  <c r="F71" i="22" s="1"/>
  <c r="F88" i="22" s="1"/>
  <c r="F92" i="22" s="1"/>
  <c r="L67" i="22"/>
  <c r="L68" i="22"/>
  <c r="L66" i="22"/>
  <c r="L69" i="22" s="1"/>
  <c r="L71" i="22" s="1"/>
  <c r="L88" i="22" s="1"/>
  <c r="L92" i="22" s="1"/>
  <c r="O49" i="25"/>
  <c r="D48" i="25"/>
  <c r="K48" i="25" s="1"/>
  <c r="C48" i="25"/>
  <c r="B48" i="25"/>
  <c r="A48" i="25"/>
  <c r="F48" i="25"/>
  <c r="E48" i="25"/>
  <c r="K61" i="24"/>
  <c r="I61" i="24"/>
  <c r="I65" i="24" s="1"/>
  <c r="G61" i="24"/>
  <c r="I67" i="24" l="1"/>
  <c r="I68" i="24"/>
  <c r="I66" i="24"/>
  <c r="I69" i="24" s="1"/>
  <c r="I71" i="24" s="1"/>
  <c r="I88" i="24" s="1"/>
  <c r="I92" i="24" s="1"/>
  <c r="L61" i="24"/>
  <c r="L65" i="24" s="1"/>
  <c r="J61" i="24"/>
  <c r="H61" i="25"/>
  <c r="N48" i="25"/>
  <c r="I48" i="25"/>
  <c r="L56" i="6"/>
  <c r="J56" i="6"/>
  <c r="L48" i="25"/>
  <c r="J48" i="25"/>
  <c r="M58" i="6"/>
  <c r="F57" i="6"/>
  <c r="C57" i="6"/>
  <c r="E57" i="6"/>
  <c r="B57" i="6"/>
  <c r="D57" i="6"/>
  <c r="G57" i="6" s="1"/>
  <c r="A57" i="6"/>
  <c r="O50" i="25"/>
  <c r="E49" i="25"/>
  <c r="B49" i="25"/>
  <c r="D49" i="25"/>
  <c r="F49" i="25"/>
  <c r="A49" i="25"/>
  <c r="C49" i="25"/>
  <c r="G60" i="25"/>
  <c r="O51" i="25" l="1"/>
  <c r="D50" i="25"/>
  <c r="K50" i="25" s="1"/>
  <c r="A50" i="25"/>
  <c r="F50" i="25"/>
  <c r="C50" i="25"/>
  <c r="E50" i="25"/>
  <c r="B50" i="25"/>
  <c r="L57" i="6"/>
  <c r="J57" i="6"/>
  <c r="L68" i="24"/>
  <c r="L66" i="24"/>
  <c r="L69" i="24" s="1"/>
  <c r="L71" i="24" s="1"/>
  <c r="L88" i="24" s="1"/>
  <c r="L92" i="24" s="1"/>
  <c r="L67" i="24"/>
  <c r="H57" i="6"/>
  <c r="G61" i="25"/>
  <c r="M59" i="6"/>
  <c r="D58" i="6"/>
  <c r="G58" i="6" s="1"/>
  <c r="E58" i="6"/>
  <c r="B58" i="6"/>
  <c r="F58" i="6"/>
  <c r="A58" i="6"/>
  <c r="C58" i="6"/>
  <c r="J58" i="6" l="1"/>
  <c r="L58" i="6"/>
  <c r="H58" i="6"/>
  <c r="N50" i="25"/>
  <c r="I50" i="25"/>
  <c r="L50" i="25"/>
  <c r="J50" i="25"/>
  <c r="M60" i="6"/>
  <c r="A59" i="6"/>
  <c r="C59" i="6"/>
  <c r="F59" i="6"/>
  <c r="B59" i="6"/>
  <c r="D59" i="6"/>
  <c r="G59" i="6" s="1"/>
  <c r="E59" i="6"/>
  <c r="O52" i="25"/>
  <c r="C51" i="25"/>
  <c r="A51" i="25"/>
  <c r="F51" i="25"/>
  <c r="E51" i="25"/>
  <c r="B51" i="25"/>
  <c r="D51" i="25"/>
  <c r="K51" i="25" s="1"/>
  <c r="J59" i="6" l="1"/>
  <c r="L59" i="6"/>
  <c r="L51" i="25"/>
  <c r="J51" i="25"/>
  <c r="D60" i="6"/>
  <c r="G60" i="6" s="1"/>
  <c r="H60" i="6" s="1"/>
  <c r="F60" i="6"/>
  <c r="C60" i="6"/>
  <c r="A60" i="6"/>
  <c r="B60" i="6"/>
  <c r="E60" i="6"/>
  <c r="N51" i="25"/>
  <c r="I51" i="25"/>
  <c r="O53" i="25"/>
  <c r="C52" i="25"/>
  <c r="F52" i="25"/>
  <c r="A52" i="25"/>
  <c r="D52" i="25"/>
  <c r="K52" i="25" s="1"/>
  <c r="E52" i="25"/>
  <c r="B52" i="25"/>
  <c r="F64" i="6"/>
  <c r="H59" i="6"/>
  <c r="F65" i="6" l="1"/>
  <c r="F67" i="6"/>
  <c r="F66" i="6"/>
  <c r="N52" i="25"/>
  <c r="I52" i="25"/>
  <c r="L60" i="6"/>
  <c r="J60" i="6"/>
  <c r="L52" i="25"/>
  <c r="J52" i="25"/>
  <c r="O54" i="25"/>
  <c r="E53" i="25"/>
  <c r="B53" i="25"/>
  <c r="C53" i="25"/>
  <c r="D53" i="25"/>
  <c r="K53" i="25" s="1"/>
  <c r="F53" i="25"/>
  <c r="A53" i="25"/>
  <c r="J53" i="25" l="1"/>
  <c r="L53" i="25"/>
  <c r="O55" i="25"/>
  <c r="F54" i="25"/>
  <c r="A54" i="25"/>
  <c r="C54" i="25"/>
  <c r="B54" i="25"/>
  <c r="E54" i="25"/>
  <c r="D54" i="25"/>
  <c r="K54" i="25" s="1"/>
  <c r="N53" i="25"/>
  <c r="I53" i="25"/>
  <c r="F68" i="6"/>
  <c r="F70" i="6" s="1"/>
  <c r="F87" i="6" s="1"/>
  <c r="F91" i="6" s="1"/>
  <c r="N54" i="25" l="1"/>
  <c r="I54" i="25"/>
  <c r="O56" i="25"/>
  <c r="F55" i="25"/>
  <c r="D55" i="25"/>
  <c r="K55" i="25" s="1"/>
  <c r="E55" i="25"/>
  <c r="C55" i="25"/>
  <c r="A55" i="25"/>
  <c r="B55" i="25"/>
  <c r="L54" i="25"/>
  <c r="J54" i="25"/>
  <c r="O57" i="25" l="1"/>
  <c r="C56" i="25"/>
  <c r="B56" i="25"/>
  <c r="D56" i="25"/>
  <c r="F56" i="25"/>
  <c r="A56" i="25"/>
  <c r="E56" i="25"/>
  <c r="N55" i="25"/>
  <c r="I55" i="25"/>
  <c r="J55" i="25"/>
  <c r="L55" i="25"/>
  <c r="O58" i="25" l="1"/>
  <c r="B57" i="25"/>
  <c r="C57" i="25"/>
  <c r="E57" i="25"/>
  <c r="F57" i="25"/>
  <c r="A57" i="25"/>
  <c r="D57" i="25"/>
  <c r="K57" i="25" s="1"/>
  <c r="N57" i="25" l="1"/>
  <c r="I57" i="25"/>
  <c r="L57" i="25"/>
  <c r="J57" i="25"/>
  <c r="O59" i="25"/>
  <c r="B58" i="25"/>
  <c r="A58" i="25"/>
  <c r="D58" i="25"/>
  <c r="K58" i="25" s="1"/>
  <c r="E58" i="25"/>
  <c r="C58" i="25"/>
  <c r="F58" i="25"/>
  <c r="L58" i="25" l="1"/>
  <c r="J58" i="25"/>
  <c r="N58" i="25"/>
  <c r="I58" i="25"/>
  <c r="O60" i="25"/>
  <c r="F59" i="25"/>
  <c r="A59" i="25"/>
  <c r="C59" i="25"/>
  <c r="B59" i="25"/>
  <c r="E59" i="25"/>
  <c r="D59" i="25"/>
  <c r="K59" i="25" s="1"/>
  <c r="L59" i="25" l="1"/>
  <c r="J59" i="25"/>
  <c r="N59" i="25"/>
  <c r="I59" i="25"/>
  <c r="O61" i="25"/>
  <c r="A60" i="25"/>
  <c r="D60" i="25"/>
  <c r="K60" i="25" s="1"/>
  <c r="E60" i="25"/>
  <c r="F60" i="25"/>
  <c r="C60" i="25"/>
  <c r="B60" i="25"/>
  <c r="N60" i="25" l="1"/>
  <c r="I60" i="25"/>
  <c r="L60" i="25"/>
  <c r="J60" i="25"/>
  <c r="O62" i="25"/>
  <c r="F61" i="25"/>
  <c r="B61" i="25"/>
  <c r="D61" i="25"/>
  <c r="K61" i="25" s="1"/>
  <c r="C61" i="25"/>
  <c r="E61" i="25"/>
  <c r="A61" i="25"/>
  <c r="N61" i="25" l="1"/>
  <c r="N65" i="25" s="1"/>
  <c r="I61" i="25"/>
  <c r="I65" i="25" s="1"/>
  <c r="F62" i="25"/>
  <c r="F65" i="25" s="1"/>
  <c r="E62" i="25"/>
  <c r="D62" i="25"/>
  <c r="C62" i="25"/>
  <c r="A62" i="25"/>
  <c r="B62" i="25"/>
  <c r="L61" i="25"/>
  <c r="L65" i="25" s="1"/>
  <c r="J61" i="25"/>
  <c r="F67" i="25" l="1"/>
  <c r="F68" i="25"/>
  <c r="F66" i="25"/>
  <c r="F69" i="25" s="1"/>
  <c r="F71" i="25" s="1"/>
  <c r="F88" i="25" s="1"/>
  <c r="F92" i="25" s="1"/>
  <c r="I67" i="25"/>
  <c r="I66" i="25"/>
  <c r="I69" i="25" s="1"/>
  <c r="I71" i="25" s="1"/>
  <c r="I88" i="25" s="1"/>
  <c r="I92" i="25" s="1"/>
  <c r="I68" i="25"/>
  <c r="L68" i="25"/>
  <c r="L67" i="25"/>
  <c r="L66" i="25"/>
  <c r="L69" i="25" s="1"/>
  <c r="L71" i="25" s="1"/>
  <c r="L88" i="25" s="1"/>
  <c r="L92" i="25" s="1"/>
  <c r="N66" i="25"/>
  <c r="N69" i="25" s="1"/>
  <c r="N71" i="25" s="1"/>
  <c r="N88" i="25" s="1"/>
  <c r="N92" i="25" s="1"/>
  <c r="N67" i="25"/>
  <c r="N68" i="25"/>
</calcChain>
</file>

<file path=xl/comments1.xml><?xml version="1.0" encoding="utf-8"?>
<comments xmlns="http://schemas.openxmlformats.org/spreadsheetml/2006/main">
  <authors>
    <author>Jhoan</author>
  </authors>
  <commentList>
    <comment ref="B296" authorId="0" shapeId="0">
      <text>
        <r>
          <rPr>
            <b/>
            <sz val="9"/>
            <color indexed="81"/>
            <rFont val="Tahoma"/>
            <family val="2"/>
          </rPr>
          <t>Jhoan:</t>
        </r>
        <r>
          <rPr>
            <sz val="9"/>
            <color indexed="81"/>
            <rFont val="Tahoma"/>
            <family val="2"/>
          </rPr>
          <t xml:space="preserve">
esta cantidad corresponde a la ceseta de operaciones + caseta de cloracion que no se ha realizado
</t>
        </r>
      </text>
    </comment>
  </commentList>
</comments>
</file>

<file path=xl/sharedStrings.xml><?xml version="1.0" encoding="utf-8"?>
<sst xmlns="http://schemas.openxmlformats.org/spreadsheetml/2006/main" count="3727" uniqueCount="1153">
  <si>
    <t>DATOS DEL CONTRATO</t>
  </si>
  <si>
    <t>TIPO DE CONTRATO:</t>
  </si>
  <si>
    <t>NÚMERO:</t>
  </si>
  <si>
    <t>FECHA DE CONTRATO:</t>
  </si>
  <si>
    <t>CONTRATISTA:</t>
  </si>
  <si>
    <t>REPRESENTANTE LEGAL:</t>
  </si>
  <si>
    <t>RÉGIMEN TRIBUTARIO:</t>
  </si>
  <si>
    <t>CARGO:</t>
  </si>
  <si>
    <t>OBJETO:</t>
  </si>
  <si>
    <t>GERENTE:</t>
  </si>
  <si>
    <t>SUBGERENTE TÉCNICO:</t>
  </si>
  <si>
    <t>PLAZO:</t>
  </si>
  <si>
    <t>VALOR:</t>
  </si>
  <si>
    <t>VALOR ANTICIPO:</t>
  </si>
  <si>
    <t>FECHA PAGO ANTICIPO:</t>
  </si>
  <si>
    <t>FECHA DE TERMINACIÓN INICIAL:</t>
  </si>
  <si>
    <t>Empresa Caucana de Servicios Públicos</t>
  </si>
  <si>
    <t>COMÚN</t>
  </si>
  <si>
    <t>SIMPLIFICADO</t>
  </si>
  <si>
    <t>SUBGERENTE TÉCNICO</t>
  </si>
  <si>
    <t>SUBGERENTE ADMINISTRATIVO Y FINANCIERO</t>
  </si>
  <si>
    <t>JEFE OFICINA JURÍDICA</t>
  </si>
  <si>
    <t>JEFE OFICINA CONTROL INTERNO</t>
  </si>
  <si>
    <t>PROFESIONAL UNIVERSITARIO</t>
  </si>
  <si>
    <t>N/A</t>
  </si>
  <si>
    <t>MESES</t>
  </si>
  <si>
    <t>FECHA ACTA DE INICIO:</t>
  </si>
  <si>
    <t>FECHA DE REINICIO No. 1:</t>
  </si>
  <si>
    <t>FECHA DE SUSPENSIÓN No. 1:</t>
  </si>
  <si>
    <t>FECHA DE SUSPENSIÓN No. 2:</t>
  </si>
  <si>
    <t>FECHA DE REINICIO No. 2:</t>
  </si>
  <si>
    <t>FECHA DE SUSPENSIÓN No. 3:</t>
  </si>
  <si>
    <t>FECHA DE REINICIO No. 3:</t>
  </si>
  <si>
    <t>FECHA DE SUSPENSIÓN No. 4:</t>
  </si>
  <si>
    <t>FECHA DE REINICIO No. 4:</t>
  </si>
  <si>
    <t>FECHA DE SUSPENSIÓN No. 5:</t>
  </si>
  <si>
    <t>FECHA DE REINICIO No. 5:</t>
  </si>
  <si>
    <t>FECHA DE SUSPENSIÓN No. 6:</t>
  </si>
  <si>
    <t>FECHA DE REINICIO No. 7:</t>
  </si>
  <si>
    <t>FECHA DE REINICIO No. 6:</t>
  </si>
  <si>
    <t>FECHA DE SUSPENSIÓN No. 7:</t>
  </si>
  <si>
    <t>FECHA DE SUSPENSIÓN No. 8:</t>
  </si>
  <si>
    <t>FECHA DE REINICIO No. 8:</t>
  </si>
  <si>
    <t>FECHA DE SUSPENSIÓN No. 9:</t>
  </si>
  <si>
    <t>FECHA DE REINICIO No. 9:</t>
  </si>
  <si>
    <t>FECHA DE SUSPENSIÓN No. 10:</t>
  </si>
  <si>
    <t>FECHA DE REINICIO No. 10:</t>
  </si>
  <si>
    <t>ACTA DE MODIFICACIÓN No. 1:</t>
  </si>
  <si>
    <t>ACTA PARCIAL No. 1:</t>
  </si>
  <si>
    <t>ACTA DE MODIFICACIÓN No. 2:</t>
  </si>
  <si>
    <t>ACTA DE MODIFICACIÓN No. 3:</t>
  </si>
  <si>
    <t>ACTA PARCIAL No. 2:</t>
  </si>
  <si>
    <t>ACTA PARCIAL No. 3:</t>
  </si>
  <si>
    <t>ACTA DE LIQUIDACIÓN:</t>
  </si>
  <si>
    <t>ACTA PARCIAL No. 4:</t>
  </si>
  <si>
    <t>ACTA PARCIAL No. 5:</t>
  </si>
  <si>
    <t>ACTA PARCIAL No. 6:</t>
  </si>
  <si>
    <t>ACTA PARCIAL No. 7:</t>
  </si>
  <si>
    <t>ACTA PARCIAL No. 8:</t>
  </si>
  <si>
    <t>ACTA PARCIAL No. 9:</t>
  </si>
  <si>
    <t>ACTA PARCIAL No. 10:</t>
  </si>
  <si>
    <t>NO</t>
  </si>
  <si>
    <t>SI</t>
  </si>
  <si>
    <t>REQUIERE SUSPENSIÓN No. 2 ?</t>
  </si>
  <si>
    <t>REQUIERE SUSPENSIÓN No. 3?</t>
  </si>
  <si>
    <t>REQUIERE SUSPENSIÓN No. 4?</t>
  </si>
  <si>
    <t>REQUIERE SUSPENSIÓN No. 5?</t>
  </si>
  <si>
    <t>REQUIERE SUSPENSIÓN No. 6?</t>
  </si>
  <si>
    <t>REQUIERE SUSPENSIÓN No. 7?</t>
  </si>
  <si>
    <t>REQUIERE SUSPENSIÓN No. 8?</t>
  </si>
  <si>
    <t>REQUIERE SUSPENSIÓN No. 9?</t>
  </si>
  <si>
    <t>REQUIERE SUSPENSIÓN No. 10?</t>
  </si>
  <si>
    <t>FECHA DE VENCIMIENTO:</t>
  </si>
  <si>
    <t>Días suspendidos:</t>
  </si>
  <si>
    <t>PLAZO ADICIONAL No. 2:</t>
  </si>
  <si>
    <t>PLAZO ADICIONAL No. 1:</t>
  </si>
  <si>
    <t>PLAZO ADICIONAL No. 3:</t>
  </si>
  <si>
    <t>VALOR ADICIONAL No. 1:</t>
  </si>
  <si>
    <t>VALOR ADICIONAL No. 2:</t>
  </si>
  <si>
    <r>
      <t xml:space="preserve">EMCASERVICIOS </t>
    </r>
    <r>
      <rPr>
        <b/>
        <sz val="16"/>
        <color rgb="FF0070C0"/>
        <rFont val="Tw Cen MT Condensed Extra Bold"/>
        <family val="2"/>
      </rPr>
      <t>S.A. E.S.P.</t>
    </r>
  </si>
  <si>
    <t>FECHA OTROSÍ No. 1:</t>
  </si>
  <si>
    <t>FECHA OTROSÍ No. 2:</t>
  </si>
  <si>
    <t>FECHA OTROSÍ No. 3:</t>
  </si>
  <si>
    <t>DATOS DE EJECUCIÓN</t>
  </si>
  <si>
    <t>FO-MA-GJ-S1-01</t>
  </si>
  <si>
    <t>1 de 1</t>
  </si>
  <si>
    <t>AÑO:</t>
  </si>
  <si>
    <t>PÁGINA:</t>
  </si>
  <si>
    <t>FECHA DE EMISIÓN:</t>
  </si>
  <si>
    <t>VERSIÓN:</t>
  </si>
  <si>
    <t>CÓDIGO:</t>
  </si>
  <si>
    <t>ACTA DE INICIO</t>
  </si>
  <si>
    <t>No.</t>
  </si>
  <si>
    <r>
      <t xml:space="preserve">CONTROLADO SI </t>
    </r>
    <r>
      <rPr>
        <u/>
        <sz val="8"/>
        <color theme="1"/>
        <rFont val="Arial"/>
        <family val="2"/>
      </rPr>
      <t>x</t>
    </r>
    <r>
      <rPr>
        <sz val="8"/>
        <color theme="1"/>
        <rFont val="Arial"/>
        <family val="2"/>
      </rPr>
      <t xml:space="preserve">  NO_</t>
    </r>
  </si>
  <si>
    <t>CONTRATANTE:</t>
  </si>
  <si>
    <t>NIT No.:</t>
  </si>
  <si>
    <t>CONTRATO DE INTERVENTORÍA</t>
  </si>
  <si>
    <t>CONTRATO DE OBRA</t>
  </si>
  <si>
    <t>CONTRATO DE SUMINISTRO</t>
  </si>
  <si>
    <t>CONTRATO DE SERVICIO</t>
  </si>
  <si>
    <t>CONTRATO DE COMPRAVENTA</t>
  </si>
  <si>
    <t>Empresa Caucana de Servicios Públicos - EMCASERVICIOS S.A. E.S.P.</t>
  </si>
  <si>
    <t>900.316.215 - 9</t>
  </si>
  <si>
    <t xml:space="preserve"> </t>
  </si>
  <si>
    <t>Persona Jurídica</t>
  </si>
  <si>
    <t>INTERVENTOR</t>
  </si>
  <si>
    <t>SUPERVISOR</t>
  </si>
  <si>
    <t>CONTRATISTA</t>
  </si>
  <si>
    <t>Señor</t>
  </si>
  <si>
    <t>Señora</t>
  </si>
  <si>
    <t>Ingeniero</t>
  </si>
  <si>
    <t>Ingeniera</t>
  </si>
  <si>
    <t>Doctor</t>
  </si>
  <si>
    <t>Doctora</t>
  </si>
  <si>
    <t>PRESUPUESTO</t>
  </si>
  <si>
    <t>DESCRIPCIÓN</t>
  </si>
  <si>
    <t>VALOR UNITARIO</t>
  </si>
  <si>
    <t>VALOR TOTAL</t>
  </si>
  <si>
    <t>CANT.</t>
  </si>
  <si>
    <t>UND.</t>
  </si>
  <si>
    <t>PRELIMINARES</t>
  </si>
  <si>
    <t>DEMOLICION Y ROTURAS</t>
  </si>
  <si>
    <t>1.02</t>
  </si>
  <si>
    <t>2.01</t>
  </si>
  <si>
    <t>2.02</t>
  </si>
  <si>
    <t>2.03</t>
  </si>
  <si>
    <t>2.04</t>
  </si>
  <si>
    <t>MOVIMIENTOS DE TIERRA</t>
  </si>
  <si>
    <t>3.01</t>
  </si>
  <si>
    <t>3.02</t>
  </si>
  <si>
    <t>3.03</t>
  </si>
  <si>
    <t>3.04</t>
  </si>
  <si>
    <t>3.05</t>
  </si>
  <si>
    <t>3.06</t>
  </si>
  <si>
    <t>3.07</t>
  </si>
  <si>
    <t>3.08</t>
  </si>
  <si>
    <t>3.09</t>
  </si>
  <si>
    <t>3.10</t>
  </si>
  <si>
    <t>3.11</t>
  </si>
  <si>
    <t>3.12</t>
  </si>
  <si>
    <t>TUBERIA DE ALCANTARILLADO</t>
  </si>
  <si>
    <t>4.01</t>
  </si>
  <si>
    <t>4.02</t>
  </si>
  <si>
    <t>4.03</t>
  </si>
  <si>
    <t>4.04</t>
  </si>
  <si>
    <t>4.05</t>
  </si>
  <si>
    <t>4.06</t>
  </si>
  <si>
    <t>4.09</t>
  </si>
  <si>
    <t>4.10</t>
  </si>
  <si>
    <t>ESTRUCTURAS SANITARIAS EN CONCRETO</t>
  </si>
  <si>
    <t>5.01</t>
  </si>
  <si>
    <t>5.02</t>
  </si>
  <si>
    <t>5.03</t>
  </si>
  <si>
    <t>5.04</t>
  </si>
  <si>
    <t>5.05</t>
  </si>
  <si>
    <t>5.06</t>
  </si>
  <si>
    <t>CONSTRUCCION DE PAVIMENTOS</t>
  </si>
  <si>
    <t>6.01</t>
  </si>
  <si>
    <t>6.02</t>
  </si>
  <si>
    <t>6.04</t>
  </si>
  <si>
    <t>6.05</t>
  </si>
  <si>
    <t>6.06</t>
  </si>
  <si>
    <t>ML</t>
  </si>
  <si>
    <t>M2</t>
  </si>
  <si>
    <t>UND</t>
  </si>
  <si>
    <t>M3</t>
  </si>
  <si>
    <t>Imprevistos</t>
  </si>
  <si>
    <t>Utilidad</t>
  </si>
  <si>
    <t>SUMINISTRO DE TUBERIA</t>
  </si>
  <si>
    <t>SUM DE TUBERIA PVC UNION MECANICA PARA ALCANTARILLADOS 6", 160 MM</t>
  </si>
  <si>
    <t>SUM TUB PVC 8" ALC</t>
  </si>
  <si>
    <t>SUM TUB PVC 10" ALC</t>
  </si>
  <si>
    <t>SUM TUB PVC 12" ALC</t>
  </si>
  <si>
    <t>SUMINISTRO TUB PVC NOVAFORT 14 "</t>
  </si>
  <si>
    <t>Administración</t>
  </si>
  <si>
    <t>7.01</t>
  </si>
  <si>
    <t>7.02</t>
  </si>
  <si>
    <t>7.03</t>
  </si>
  <si>
    <t>7.04</t>
  </si>
  <si>
    <t>7.05</t>
  </si>
  <si>
    <t>VLR. UNITARIO</t>
  </si>
  <si>
    <t>ITEM</t>
  </si>
  <si>
    <t>CONDICIONES INICIALES</t>
  </si>
  <si>
    <t>NIT. 900.316.215-9</t>
  </si>
  <si>
    <t>FECHA DE INICIO:</t>
  </si>
  <si>
    <t>VALOR INICIAL:</t>
  </si>
  <si>
    <t>VALOR TOTAL:</t>
  </si>
  <si>
    <t>CONDICIONES ACTUALIZADAS</t>
  </si>
  <si>
    <t>PRESENTE ACTA</t>
  </si>
  <si>
    <t>ACUMULADO</t>
  </si>
  <si>
    <t>MUNICIPIO DEL CONTRATO:</t>
  </si>
  <si>
    <t>ALMAGUER</t>
  </si>
  <si>
    <t>ARGELIA</t>
  </si>
  <si>
    <t>BALBOA</t>
  </si>
  <si>
    <t>BOLÍVAR</t>
  </si>
  <si>
    <t>BUENOS AIRES</t>
  </si>
  <si>
    <t>CAJIBÍO</t>
  </si>
  <si>
    <t>CALDONO</t>
  </si>
  <si>
    <t>CALOTO</t>
  </si>
  <si>
    <t>CORINTO</t>
  </si>
  <si>
    <t>EL TAMBO</t>
  </si>
  <si>
    <t>FLORENCIA</t>
  </si>
  <si>
    <t>GUACHENÉ</t>
  </si>
  <si>
    <t>GUAPI</t>
  </si>
  <si>
    <t>INZÁ</t>
  </si>
  <si>
    <t>JAMBALÓ</t>
  </si>
  <si>
    <t>LA SIERRA</t>
  </si>
  <si>
    <t>LA VEGA</t>
  </si>
  <si>
    <t>LÓPEZ DE MICAY</t>
  </si>
  <si>
    <t>MERCADERES</t>
  </si>
  <si>
    <t>MIRANDA</t>
  </si>
  <si>
    <t>MORALES</t>
  </si>
  <si>
    <t>PADILLA</t>
  </si>
  <si>
    <t>PÁEZ - BELALCÁZAR</t>
  </si>
  <si>
    <t>PATÍA - EL BORDO</t>
  </si>
  <si>
    <t>PIAMONTE</t>
  </si>
  <si>
    <t>PIENDAMÓ</t>
  </si>
  <si>
    <t>POPAYÁN</t>
  </si>
  <si>
    <t>PUERTO TEJADA</t>
  </si>
  <si>
    <t>PURACÉ - COCONUCO</t>
  </si>
  <si>
    <t>ROSAS</t>
  </si>
  <si>
    <t>SAN SEBASTÍAN</t>
  </si>
  <si>
    <t>SANTA ROSA</t>
  </si>
  <si>
    <t>SANTANDER DE QUILICHAO</t>
  </si>
  <si>
    <t>SILVIA</t>
  </si>
  <si>
    <t>SOTARÁ - PAISPAMBA</t>
  </si>
  <si>
    <t>SUÁREZ</t>
  </si>
  <si>
    <t>SUCRE</t>
  </si>
  <si>
    <t>TIMBÍO</t>
  </si>
  <si>
    <t>TIMBIQUÍ</t>
  </si>
  <si>
    <t>TORIBÍO</t>
  </si>
  <si>
    <t>TOTORÓ</t>
  </si>
  <si>
    <t>VILLA RICA</t>
  </si>
  <si>
    <t>OTROSÍ No. 1:</t>
  </si>
  <si>
    <t>OTROSÍ No. 2:</t>
  </si>
  <si>
    <t>OTROSÍ No. 3:</t>
  </si>
  <si>
    <t>FECHA SUSPENSIÓN No. 1:</t>
  </si>
  <si>
    <t>FECHA SUSPENSIÓN No. 2:</t>
  </si>
  <si>
    <t>FECHA SUSPENSIÓN No. 3:</t>
  </si>
  <si>
    <t>FECHA SUSPENSIÓN No. 4:</t>
  </si>
  <si>
    <t>FECHA SUSPENSIÓN No. 5:</t>
  </si>
  <si>
    <t>FECHA REINICIO No. 1:</t>
  </si>
  <si>
    <t>FECHA REINICIO No. 2:</t>
  </si>
  <si>
    <t>FECHA REINICIO No. 3:</t>
  </si>
  <si>
    <t>FECHA REINICIO No. 4:</t>
  </si>
  <si>
    <t>FECHA REINICIO No. 5:</t>
  </si>
  <si>
    <r>
      <rPr>
        <b/>
        <sz val="12"/>
        <color rgb="FF0070C0"/>
        <rFont val="Tw Cen MT Condensed Extra Bold"/>
        <family val="2"/>
      </rPr>
      <t>EMPRESA CAUCANA DE SERVICIOS PÚBLICOS S.A. E.S.P.</t>
    </r>
    <r>
      <rPr>
        <b/>
        <sz val="11"/>
        <color rgb="FF0070C0"/>
        <rFont val="Tw Cen MT Condensed Extra Bold"/>
        <family val="2"/>
      </rPr>
      <t xml:space="preserve">
</t>
    </r>
    <r>
      <rPr>
        <b/>
        <sz val="9"/>
        <color rgb="FF0070C0"/>
        <rFont val="Tw Cen MT Condensed Extra Bold"/>
        <family val="2"/>
      </rPr>
      <t>NIT. 900.316.215-9</t>
    </r>
  </si>
  <si>
    <t>FECHA EMISIÓN:</t>
  </si>
  <si>
    <t>1.0</t>
  </si>
  <si>
    <t>11 DE JULIO DE 2016</t>
  </si>
  <si>
    <t>SALDO POR AMORTIZAR:</t>
  </si>
  <si>
    <t>BALANCE DEL CONTRATO:</t>
  </si>
  <si>
    <t>VALOR CONTRATO INICIAL:</t>
  </si>
  <si>
    <t>VALOR EJECUTADO ACTA No.1:</t>
  </si>
  <si>
    <t>SALDO POR EJECUTAR:</t>
  </si>
  <si>
    <t>SUMAS IGUALES</t>
  </si>
  <si>
    <t>PORCENTAJE OBRA EJECUTADO</t>
  </si>
  <si>
    <t>VALOR CONTRATO ADICIONAL No.1:</t>
  </si>
  <si>
    <t>VALOR CONTRATO ADICIONAL No.2:</t>
  </si>
  <si>
    <t>$</t>
  </si>
  <si>
    <t>VALOR ANTICIPO ADICIONAL No. 1:</t>
  </si>
  <si>
    <t>VALOR ANTICIPO ADICIONAL No. 2:</t>
  </si>
  <si>
    <t>AMORTIZACION  EN ACTA No.1:</t>
  </si>
  <si>
    <t>ESTADO DEL ANTICIPO:</t>
  </si>
  <si>
    <t>VALOR EJECUTADO A LA FECHA:</t>
  </si>
  <si>
    <t>VALOR OBRA EJECUTADA PRESENTE ACTA:</t>
  </si>
  <si>
    <t>AMORTIZACIÓN DE ANTICIPO:</t>
  </si>
  <si>
    <t>VALOR A PAGAR PRESENTE ACTA:</t>
  </si>
  <si>
    <t>VALOR PRESENTE ACTA EN LETRAS:</t>
  </si>
  <si>
    <t>LA PRESENTE ACTA NO EXIME AL CONTRATISTA DE LA REPETICIÓN A COSTA SUYA DE LOS TRABAJOS QUE HAYAN QUEDADO DEFECTUOSOS POR CAUSAS QUE LE SEAN IMPUTABLES. LA MEDICIÓN DE LAS CANTIDADES DE OBRA EJECUTADAS SON RESPONSABILIDAD DEL CONTRATISTA Y EL INTERVENTOR.</t>
  </si>
  <si>
    <t>EMCASERVICIOS S.A. E.S.P.</t>
  </si>
  <si>
    <t>_________________________________________</t>
  </si>
  <si>
    <t>VALOR EJECUTADO ACTA No.2:</t>
  </si>
  <si>
    <t>AMORTIZACION  EN ACTA No.2:</t>
  </si>
  <si>
    <t>SALDO POR AMORTIZAR  ANTICIPO:</t>
  </si>
  <si>
    <t>APOYO A LA SUPERVISIÓN:</t>
  </si>
  <si>
    <t>ACTA DE SUSPENSIÓN</t>
  </si>
  <si>
    <t>No. 01</t>
  </si>
  <si>
    <t>VALOR ADICIONAL No.1:</t>
  </si>
  <si>
    <t>VALOR ADICIONAL No.2:</t>
  </si>
  <si>
    <t>PLAZO ADICIONAL No.1:</t>
  </si>
  <si>
    <t>PLAZO ADICIONAL No.2:</t>
  </si>
  <si>
    <t>PLAZO ADICIONAL No.3:</t>
  </si>
  <si>
    <t>CONVIENEN:</t>
  </si>
  <si>
    <r>
      <rPr>
        <b/>
        <sz val="12"/>
        <color theme="1"/>
        <rFont val="Arial"/>
        <family val="2"/>
      </rPr>
      <t>SEGUNDO.</t>
    </r>
    <r>
      <rPr>
        <sz val="12"/>
        <color theme="1"/>
        <rFont val="Arial"/>
        <family val="2"/>
      </rPr>
      <t xml:space="preserve">- El tiempo de la suspensión no se computará en el plazo del contrato. </t>
    </r>
    <r>
      <rPr>
        <b/>
        <sz val="12"/>
        <color theme="1"/>
        <rFont val="Arial"/>
        <family val="2"/>
      </rPr>
      <t>TERCERO.</t>
    </r>
    <r>
      <rPr>
        <sz val="12"/>
        <color theme="1"/>
        <rFont val="Arial"/>
        <family val="2"/>
      </rPr>
      <t xml:space="preserve">- Elaborar un Acta de Reiniciación de los trabajos, cuando cesen las causas que originaron la suspensión de la ejecución del Contrato. Esta Acta será suscrita por el Interventor y por el Contratista. </t>
    </r>
    <r>
      <rPr>
        <b/>
        <sz val="12"/>
        <color theme="1"/>
        <rFont val="Arial"/>
        <family val="2"/>
      </rPr>
      <t>CUARTO.</t>
    </r>
    <r>
      <rPr>
        <sz val="12"/>
        <color theme="1"/>
        <rFont val="Arial"/>
        <family val="2"/>
      </rPr>
      <t xml:space="preserve">- La presente Acta requiere para su validez de la prórroga de las pólizas en un tiempo igual al de la suspensión, requisito que se cumplirá una vez se reinicie la ejecución del contrato. </t>
    </r>
    <r>
      <rPr>
        <b/>
        <sz val="12"/>
        <color theme="1"/>
        <rFont val="Arial"/>
        <family val="2"/>
      </rPr>
      <t>QUINTO.</t>
    </r>
    <r>
      <rPr>
        <sz val="12"/>
        <color theme="1"/>
        <rFont val="Arial"/>
        <family val="2"/>
      </rPr>
      <t>- La Presente acta no modifica ninguna de las cláusulas del Contrato y sólo tiene objeto y se suscribe en cuanto hace referecia a la suspensión del plazo.</t>
    </r>
  </si>
  <si>
    <t>Vo. Bo. Supervisor</t>
  </si>
  <si>
    <t>No. 02</t>
  </si>
  <si>
    <t>No. 03</t>
  </si>
  <si>
    <t>No. 04</t>
  </si>
  <si>
    <t>No. 05</t>
  </si>
  <si>
    <t>No. 06</t>
  </si>
  <si>
    <t>No. 07</t>
  </si>
  <si>
    <t>No. 08</t>
  </si>
  <si>
    <t>No. 09</t>
  </si>
  <si>
    <t>No. 10</t>
  </si>
  <si>
    <t>ACTA DE REINICIO</t>
  </si>
  <si>
    <t>%</t>
  </si>
  <si>
    <t>VALOR EJECUTADO ACTA No.3:</t>
  </si>
  <si>
    <t>VALOR EJECUTADO ACTA No.4:</t>
  </si>
  <si>
    <t>VALOR EJECUTADO ACTA No.5:</t>
  </si>
  <si>
    <t>VALOR EJECUTADO ACTA No.6:</t>
  </si>
  <si>
    <t>VALOR EJECUTADO ACTA No.7:</t>
  </si>
  <si>
    <t>VALOR EJECUTADO ACTA No.8:</t>
  </si>
  <si>
    <t>VALOR EJECUTADO ACTA No.9:</t>
  </si>
  <si>
    <t>AMORTIZACION  EN ACTA No.3:</t>
  </si>
  <si>
    <t>AMORTIZACION  EN ACTA No.4:</t>
  </si>
  <si>
    <t>AMORTIZACION  EN ACTA No.5:</t>
  </si>
  <si>
    <t>AMORTIZACION  EN ACTA No.6:</t>
  </si>
  <si>
    <t>AMORTIZACION  EN ACTA No.7:</t>
  </si>
  <si>
    <t>AMORTIZACION  EN ACTA No.8:</t>
  </si>
  <si>
    <t>AMORTIZACION  EN ACTA No.9:</t>
  </si>
  <si>
    <t>VALOR CONTRATO:</t>
  </si>
  <si>
    <t>ACTA PARCIAL
No. 1</t>
  </si>
  <si>
    <t>ACTA DE MODIFICACIÓN
No. 1</t>
  </si>
  <si>
    <t>MODIFICACIONES</t>
  </si>
  <si>
    <t>ANTERIORES</t>
  </si>
  <si>
    <t>PRESENTES</t>
  </si>
  <si>
    <t>CANTIDAD</t>
  </si>
  <si>
    <t>ADMINISTRACIÓN (%):</t>
  </si>
  <si>
    <t>IMPREVISTOS (%):</t>
  </si>
  <si>
    <t>UTILIDAD (%):</t>
  </si>
  <si>
    <t>SUMINISTROS</t>
  </si>
  <si>
    <t>OBRA CIVIL</t>
  </si>
  <si>
    <t>TOTAL COSTOS DIRECTOS OBRA OBRA CIVIL</t>
  </si>
  <si>
    <t>TOTAL COSTOS INDIRECTOS (AIU) OBRA CIVIL</t>
  </si>
  <si>
    <t>VALOR TOTAL OBRA CIVIL</t>
  </si>
  <si>
    <t>TOTAL COSTOS DIRECTOS SUMINISTRO DE MATERIALES</t>
  </si>
  <si>
    <t>TOTAL COSTOS INDIRECTOS (AIU) SUMINISTRO DE MATERIALES</t>
  </si>
  <si>
    <t>VALOR TOTAL SUMINISTRO DE MATERIALES</t>
  </si>
  <si>
    <t>PRESUPUESTO OBRA CIVIL</t>
  </si>
  <si>
    <t>Vo.Bo. SUBGERENTE TÉCNICO</t>
  </si>
  <si>
    <t>GERENTE</t>
  </si>
  <si>
    <t>ACTA DE MODIFICACIÓN
No. 2</t>
  </si>
  <si>
    <t>LOS VALORES Y CANTIDADES CONSIGNADAS EN LA PRESENTE ACTA SON RESPONSABILIDAD EXCLUSIVA DEL CONTRATISTA Y EL INTERVENTOR.</t>
  </si>
  <si>
    <t>ACTA DE MODIFICACIÓN
No. 3</t>
  </si>
  <si>
    <t>-…</t>
  </si>
  <si>
    <t>La reiniciación del contrato se realiza teniendo en cuenta la siguiente consideración:</t>
  </si>
  <si>
    <t>Longitud</t>
  </si>
  <si>
    <t xml:space="preserve">Mat. Profesional:               </t>
  </si>
  <si>
    <t xml:space="preserve">Mat. Profesional                                   </t>
  </si>
  <si>
    <t>Vo. Bo. Subgerente Técnico</t>
  </si>
  <si>
    <r>
      <rPr>
        <b/>
        <sz val="12"/>
        <color rgb="FF0070C0"/>
        <rFont val="Arial"/>
        <family val="2"/>
      </rPr>
      <t>EMPRESA CAUCANA DE SERVICIOS PÚBLICOS S.A. E.S.P.</t>
    </r>
    <r>
      <rPr>
        <b/>
        <sz val="11"/>
        <color rgb="FF0070C0"/>
        <rFont val="Arial"/>
        <family val="2"/>
      </rPr>
      <t xml:space="preserve">
</t>
    </r>
    <r>
      <rPr>
        <b/>
        <sz val="9"/>
        <color rgb="FF0070C0"/>
        <rFont val="Arial"/>
        <family val="2"/>
      </rPr>
      <t>NIT. 900.316.215-9</t>
    </r>
  </si>
  <si>
    <t>UNIDAD</t>
  </si>
  <si>
    <t>UBICACIÓN</t>
  </si>
  <si>
    <t>PREACTA DE OBRA Y MEMORIA DE CÁLCULO DE CANTIDADES</t>
  </si>
  <si>
    <t>1. PRELIMINARES</t>
  </si>
  <si>
    <t>1.02. LOCALIZACION-REPLANTEO ACUEDUCTO Y ALCANTARILLADO</t>
  </si>
  <si>
    <t>ESQUEMAS Y FOTOGRAFÍAS</t>
  </si>
  <si>
    <t>Ajuste al peso</t>
  </si>
  <si>
    <t>Ancho</t>
  </si>
  <si>
    <t>Alto / Espesor</t>
  </si>
  <si>
    <t>Dimensiones</t>
  </si>
  <si>
    <t># Elementos</t>
  </si>
  <si>
    <t>Medida Total</t>
  </si>
  <si>
    <t>Localización</t>
  </si>
  <si>
    <t xml:space="preserve">OBSERVACIONES:  </t>
  </si>
  <si>
    <t>Subtotal cantidad presente hoja</t>
  </si>
  <si>
    <t>Viene cantidad hoja anterior</t>
  </si>
  <si>
    <t>TOTAL ACUMULADO</t>
  </si>
  <si>
    <t xml:space="preserve">Residente de obra:    </t>
  </si>
  <si>
    <t xml:space="preserve">Residente de Interventoria: </t>
  </si>
  <si>
    <t>CAPÍTULO:</t>
  </si>
  <si>
    <t>PREFILTRO 1 y 2</t>
  </si>
  <si>
    <t xml:space="preserve">CAMARA DE VALVULAS </t>
  </si>
  <si>
    <t>CAMARA DE LAVADO</t>
  </si>
  <si>
    <t>PREFILTRO 3 y 4</t>
  </si>
  <si>
    <t>PREFILTRO 5 y 6</t>
  </si>
  <si>
    <t>CAJA DESAGUE 1</t>
  </si>
  <si>
    <t>CAJA DESAGUE 2</t>
  </si>
  <si>
    <t>CAJA DESAGUE 3</t>
  </si>
  <si>
    <t>4. PREFILTROS</t>
  </si>
  <si>
    <t>FILTRO DINÁMICO</t>
  </si>
  <si>
    <t>4.30 Concreto de 28 Mpa impermeabilizado para losa e=0,20</t>
  </si>
  <si>
    <t>ACTA PARCIAL
No. 4</t>
  </si>
  <si>
    <t>ACTA PARCIAL
No. 5</t>
  </si>
  <si>
    <t>ACTA PARCIAL
No. 6</t>
  </si>
  <si>
    <t>ACTA PARCIAL
No. 7</t>
  </si>
  <si>
    <t>ACTA PARCIAL
No. 8</t>
  </si>
  <si>
    <t>ACTA PARCIAL
No. 9</t>
  </si>
  <si>
    <t>ACTA PARCIAL
No. 10</t>
  </si>
  <si>
    <t>VALOR EJECUTADO ACTA No.10:</t>
  </si>
  <si>
    <t>AMORTIZACION  EN ACTA No.10:</t>
  </si>
  <si>
    <t>VALOR EJECUTADO ACTA FINAL:</t>
  </si>
  <si>
    <t>AMORTIZACION  EN ACTA FINAL:</t>
  </si>
  <si>
    <t>.-</t>
  </si>
  <si>
    <r>
      <rPr>
        <b/>
        <sz val="12"/>
        <color theme="1"/>
        <rFont val="Arial"/>
        <family val="2"/>
      </rPr>
      <t>SEGUNDO.</t>
    </r>
    <r>
      <rPr>
        <sz val="12"/>
        <color theme="1"/>
        <rFont val="Arial"/>
        <family val="2"/>
      </rPr>
      <t xml:space="preserve">- El tiempo de la suspensión no se computará en el plazo del contrato. </t>
    </r>
    <r>
      <rPr>
        <b/>
        <sz val="12"/>
        <color theme="1"/>
        <rFont val="Arial"/>
        <family val="2"/>
      </rPr>
      <t>TERCERO.</t>
    </r>
    <r>
      <rPr>
        <sz val="12"/>
        <color theme="1"/>
        <rFont val="Arial"/>
        <family val="2"/>
      </rPr>
      <t xml:space="preserve">- Elaborar un Acta de reinicio de los trabajos cumplido el tiempo mencionado en la presente acta, en el cual se considera se normalicen las causas que originaron la suspensión de la ejecución del Contrato. Esta acta será suscrita por el Interventor, por el Contratista y por la Gerencia de Emcaservicios S.A. E.S.P.. </t>
    </r>
    <r>
      <rPr>
        <b/>
        <sz val="12"/>
        <color theme="1"/>
        <rFont val="Arial"/>
        <family val="2"/>
      </rPr>
      <t>CUARTO.</t>
    </r>
    <r>
      <rPr>
        <sz val="12"/>
        <color theme="1"/>
        <rFont val="Arial"/>
        <family val="2"/>
      </rPr>
      <t xml:space="preserve">- La presente Acta requiere para su validez de la prórroga de las pólizas en un tiempo igual al de la suspensión, requisito que se cumplirá una vez se reinicie la ejecución del contrato, dentro de los tres dias habiles siguientes a la suscripcion del reinicio. </t>
    </r>
    <r>
      <rPr>
        <b/>
        <sz val="12"/>
        <color theme="1"/>
        <rFont val="Arial"/>
        <family val="2"/>
      </rPr>
      <t>QUINTO.</t>
    </r>
    <r>
      <rPr>
        <sz val="12"/>
        <color theme="1"/>
        <rFont val="Arial"/>
        <family val="2"/>
      </rPr>
      <t>- La Presente acta no modifica ninguna de las cláusulas del Contrato y sólo tiene objeto y se suscribe en cuanto hace referecia a la suspensión del plazo.</t>
    </r>
  </si>
  <si>
    <t>F.INF.07</t>
  </si>
  <si>
    <r>
      <rPr>
        <b/>
        <sz val="12"/>
        <color theme="1"/>
        <rFont val="Arial"/>
        <family val="2"/>
      </rPr>
      <t>PRIMERO.</t>
    </r>
    <r>
      <rPr>
        <sz val="12"/>
        <color theme="1"/>
        <rFont val="Arial"/>
        <family val="2"/>
      </rPr>
      <t xml:space="preserve">- Reanudar a partir de la fecha las actividades del presente contrato. </t>
    </r>
    <r>
      <rPr>
        <b/>
        <sz val="12"/>
        <color theme="1"/>
        <rFont val="Arial"/>
        <family val="2"/>
      </rPr>
      <t>SEGUNDO.</t>
    </r>
    <r>
      <rPr>
        <sz val="12"/>
        <color theme="1"/>
        <rFont val="Arial"/>
        <family val="2"/>
      </rPr>
      <t xml:space="preserve">- El contratista se compromete a modificar las garantías del contrato dentro de los 3 dias habiles siguientes. </t>
    </r>
    <r>
      <rPr>
        <b/>
        <sz val="12"/>
        <color theme="1"/>
        <rFont val="Arial"/>
        <family val="2"/>
      </rPr>
      <t>TERCERO.</t>
    </r>
    <r>
      <rPr>
        <sz val="12"/>
        <color theme="1"/>
        <rFont val="Arial"/>
        <family val="2"/>
      </rPr>
      <t>- La presente acta no modifica ninguna de las cláusulas del contrato y sólo tiene por objeto la reanudación del presente contrato.</t>
    </r>
  </si>
  <si>
    <t>FECHA DE PLAZO ADICIONAL No. 1:</t>
  </si>
  <si>
    <t>FECHA DE PLAZO ADICIONAL No. 2:</t>
  </si>
  <si>
    <t>FECHA DE PLAZO ADICIONAL No. 3:</t>
  </si>
  <si>
    <t>FECHA DE  VALOR ADICIONAL No.1:</t>
  </si>
  <si>
    <t>FECHA DE  VALOR ADICIONAL No.2:</t>
  </si>
  <si>
    <t>FECHA CONTRATO ADICIONAL No. 1:</t>
  </si>
  <si>
    <t>""</t>
  </si>
  <si>
    <t>ACTA DE ENTREGA DE OBRA</t>
  </si>
  <si>
    <t>CODIGO</t>
  </si>
  <si>
    <t>VERSION</t>
  </si>
  <si>
    <t>CONTROLADO SI x  NO_</t>
  </si>
  <si>
    <t>FECAHA DE EMISION</t>
  </si>
  <si>
    <t>EMCASERVICIOS S.A. E.S.P. (GESTORA DEL PLAN DEPARTAMENTAL DE AGUA Y ALCANTARILLADO DEL CAUCA)</t>
  </si>
  <si>
    <t>INTERVENTOR:</t>
  </si>
  <si>
    <t>VALOR FINAL DEL CONTRATO:</t>
  </si>
  <si>
    <t>FUENTES DE FINANCIACIÓN:</t>
  </si>
  <si>
    <t>PDA NACIÓN</t>
  </si>
  <si>
    <t>INTERVENTORIA TÉCNICA</t>
  </si>
  <si>
    <t>TOTAL</t>
  </si>
  <si>
    <t>PARTICIPACIÓN</t>
  </si>
  <si>
    <t>PDA DEPARTAMENTO</t>
  </si>
  <si>
    <t>PDA MUNICIPIO</t>
  </si>
  <si>
    <t>PLAZO FINAL:</t>
  </si>
  <si>
    <t>FECHA DE INICIACIÓN:</t>
  </si>
  <si>
    <t>FECHA DE RECIBO FINAL:</t>
  </si>
  <si>
    <t>4 MESES Y 105 DIAS</t>
  </si>
  <si>
    <t xml:space="preserve">                                    11 DE ABRIL DE 2011</t>
  </si>
  <si>
    <t xml:space="preserve">                         10 DE NOVIEMBRE DE 2012</t>
  </si>
  <si>
    <r>
      <t>En el municipio de Timbio, Cauca, siendo las 10:00 am, entre el municipio de Timbio, representado legalmente por MARIBEL PERAFAN GALLARDO, identificada con No de Cédula de Ciudadanía 34.561.762 de Popayan, Alcaldesa Municipal de Timbio entidad territorial beneficiada con la entrega de la</t>
    </r>
    <r>
      <rPr>
        <sz val="10"/>
        <color indexed="8"/>
        <rFont val="Arial"/>
        <family val="2"/>
      </rPr>
      <t xml:space="preserve"> infraestructura</t>
    </r>
    <r>
      <rPr>
        <b/>
        <sz val="10"/>
        <color indexed="8"/>
        <rFont val="Arial"/>
        <family val="2"/>
      </rPr>
      <t xml:space="preserve">, </t>
    </r>
    <r>
      <rPr>
        <sz val="10"/>
        <color indexed="8"/>
        <rFont val="Arial"/>
        <family val="2"/>
      </rPr>
      <t>distinguida con Nit N</t>
    </r>
    <r>
      <rPr>
        <b/>
        <sz val="10"/>
        <color indexed="8"/>
        <rFont val="Arial"/>
        <family val="2"/>
      </rPr>
      <t>o</t>
    </r>
    <r>
      <rPr>
        <sz val="10"/>
        <color indexed="8"/>
        <rFont val="Arial"/>
        <family val="2"/>
      </rPr>
      <t>.891500742-5, y l</t>
    </r>
    <r>
      <rPr>
        <sz val="10"/>
        <rFont val="Arial"/>
        <family val="2"/>
      </rPr>
      <t xml:space="preserve">a Empresa Caucana de Servicios Publicos EMCASERVICIOS S.A. E.S.P., representada Legalmente por el Ingeniero JUAN CARLOS BOLAÑOS DAZA, identificado con Cédula de Ciudadanía No. 10.544.048 expedida en Popayan, quien obra en calidad de GERENTE, cargo para el cual fue  nombramiento mediante acta N° 18 de Mayo de 2013 de Junta Directiva, debidamente posesionado, según acta de posesión No.388 del 31 de Mayo de 2013; empresa que actúa como Gestora del Plan Departamental de Aguas del Cauca, entidad que contrata la obra necesaria para la construccion de Construccion, rehabilitacion Acueducto veredal Las Cruces, Municipio de Timbio, ejecutada por el Ing. IVAN PABON,  y en desarrollo del convenio “Convenio de Cooperación y Apoyo Financiero Para la Vinculación Del Municipio de Timbio y de La Empresa Caucana de Servicios Públicos EMCASERVICIOS S.A. E.S.P., al Plan Departamental de Aguas y Saneamiento No. </t>
    </r>
    <r>
      <rPr>
        <b/>
        <sz val="10"/>
        <color indexed="8"/>
        <rFont val="Arial"/>
        <family val="2"/>
      </rPr>
      <t>03111 – 09</t>
    </r>
    <r>
      <rPr>
        <sz val="10"/>
        <color indexed="8"/>
        <rFont val="Arial"/>
        <family val="2"/>
      </rPr>
      <t>,</t>
    </r>
    <r>
      <rPr>
        <sz val="10"/>
        <rFont val="Arial"/>
        <family val="2"/>
      </rPr>
      <t xml:space="preserve"> suscrito con el Departamento del Cauca el 1</t>
    </r>
    <r>
      <rPr>
        <b/>
        <sz val="10"/>
        <color indexed="8"/>
        <rFont val="Arial"/>
        <family val="2"/>
      </rPr>
      <t>3 de Noviembre de 2009</t>
    </r>
    <r>
      <rPr>
        <sz val="10"/>
        <rFont val="Arial"/>
        <family val="2"/>
      </rPr>
      <t xml:space="preserve">, y el Manual Operativo del Plan Departamental para el Manejo Empresarial de los Servicios de Agua y Saneamiento – PDA del Departamento del Cauca, Capitulo III Ejecución, Seguimiento y Control del PDA, Numeral 3.2 Suscripción de convenios derivados: “Con base en el PAEI, y teniendo en cuenta que el Gestor será el responsable de tramitar los pagos ante el esquema fiduciario para el manejo de los recursos del PDA, cada municipio procederá a la suscripción de un convenio con éste, en el cual se definirán, como mínimo las inversiones a desarrollar en cada uno de ellos, su cronograma de ejecución, los mecanismos de financiación, la forma de hacer seguimiento de los recursos por las partes aportantes y el mecanismo para la entrega y recibo por el Municipio de los estudios y diseños ejecutados. Igualmente, en cada uno de los convenios a suscribir, se señalaran para las partes como mínimo las siguientes obligaciones: Por parte del Municipio: a). Recibir los productos de la consultoria que se adelanten en el marco del PDA en su jurisdicción (estudios y diseños, etc);… b). Concurrir a la liquidación de los contratos celebrados. Por parte del Gestor… c). Entregar al Municipio la obra y en general los productos de los contratos celebrados…” (Subraya fuera de texto original).; es necesario, una vez verificada la ejecución total de  los distintos componentes que integran la ejecución contractual (contrato 06 de 2011), recibido a satisfacción  al contratista o ejecutor por la intervenria de las mismas ejercida por Ing. GREGORIO GUZMAN ANACONA, y EMCASERVICIOS S.A .E.S.P.  por el Ingeniero Supervisor OMAR FELIPE LOPEZ CORTES y verificada su funcionalidad y utilidad para el aseguramiento de la prestación del servicio en el Municipio, se procede a la entrega formal y material y consecuente recibo a satisfacción por parte del Municipio de la obra señalada, con la condición de que se encuentre afecta a la prestación del servicio de acueducto a la comunidad.
En este proceso de entrega se cuenta con la presencia de la Interventoria de las obras, contratada por EMCASERVICIOS S.A E.S.P. para lo cual se cuenta con la representación del Ingeniero GREGORIO GUZMAN ANACONA, el contratista de la obra Ingeniero IVAN PABON, </t>
    </r>
    <r>
      <rPr>
        <sz val="10"/>
        <color indexed="10"/>
        <rFont val="Arial"/>
        <family val="2"/>
      </rPr>
      <t xml:space="preserve"> </t>
    </r>
    <r>
      <rPr>
        <sz val="10"/>
        <rFont val="Arial"/>
        <family val="2"/>
      </rPr>
      <t xml:space="preserve">y el Ingeniero </t>
    </r>
    <r>
      <rPr>
        <b/>
        <sz val="10"/>
        <color indexed="60"/>
        <rFont val="Arial"/>
        <family val="2"/>
      </rPr>
      <t>XXXXXXXXXXXX</t>
    </r>
    <r>
      <rPr>
        <sz val="10"/>
        <rFont val="Arial"/>
        <family val="2"/>
      </rPr>
      <t xml:space="preserve"> delegado de la Alcaldía Municipal deTimbio</t>
    </r>
    <r>
      <rPr>
        <b/>
        <sz val="10"/>
        <color indexed="60"/>
        <rFont val="Arial"/>
        <family val="2"/>
      </rPr>
      <t>.</t>
    </r>
    <r>
      <rPr>
        <sz val="10"/>
        <rFont val="Arial"/>
        <family val="2"/>
      </rPr>
      <t xml:space="preserve">
Se deja expresa constancia de los amparos y vigencias de las polizas de cumplimiento No. 435-45-994000002103 y de responsabilidad civil extracontractual No. 435-74-994000001745, así: 
AMPAROS Y VIGENCIAS: 
CUMPLIMIENTO </t>
    </r>
    <r>
      <rPr>
        <sz val="10"/>
        <color indexed="10"/>
        <rFont val="Arial"/>
        <family val="2"/>
      </rPr>
      <t>Hasta el 13 de Marzo de 2013 $38.230.000.oo</t>
    </r>
    <r>
      <rPr>
        <sz val="10"/>
        <rFont val="Arial"/>
        <family val="2"/>
      </rPr>
      <t xml:space="preserve">
ANTICIPO </t>
    </r>
    <r>
      <rPr>
        <sz val="10"/>
        <color indexed="10"/>
        <rFont val="Arial"/>
        <family val="2"/>
      </rPr>
      <t>Hasta el 13 de Marzo de 2013 $95.575.000,oo</t>
    </r>
    <r>
      <rPr>
        <sz val="10"/>
        <rFont val="Arial"/>
        <family val="2"/>
      </rPr>
      <t xml:space="preserve">
PAGO DE SALARIOS, PRESTACIONES SOCIALES, E INDEMNIZACIONES </t>
    </r>
    <r>
      <rPr>
        <sz val="10"/>
        <color indexed="10"/>
        <rFont val="Arial"/>
        <family val="2"/>
      </rPr>
      <t>Hasta el 15 de Marzo de 2016 $9.557.500,oo</t>
    </r>
    <r>
      <rPr>
        <sz val="10"/>
        <rFont val="Arial"/>
        <family val="2"/>
      </rPr>
      <t xml:space="preserve">
CALIDAD Y ESTABILIDAD DE LOS TRABAJOS CONTRATADOS </t>
    </r>
    <r>
      <rPr>
        <sz val="10"/>
        <color indexed="10"/>
        <rFont val="Arial"/>
        <family val="2"/>
      </rPr>
      <t>Hasta el 10 de Noviembre de 2017, $38.230.000,oo</t>
    </r>
    <r>
      <rPr>
        <sz val="10"/>
        <rFont val="Arial"/>
        <family val="2"/>
      </rPr>
      <t xml:space="preserve">
La presente entrega se hace en virtud del Conveniode Cooperación y Apoyo Financiero Para la Vinculación Del Municipio de Timbio y de La Empresa Caucana de Servicios Públicos EMCASERVICIOS S.A. E.S.P., al Plan Departamental de Aguas y Saneamiento No. </t>
    </r>
    <r>
      <rPr>
        <b/>
        <sz val="10"/>
        <color indexed="8"/>
        <rFont val="Arial"/>
        <family val="2"/>
      </rPr>
      <t>03111 – 09</t>
    </r>
    <r>
      <rPr>
        <sz val="10"/>
        <color indexed="8"/>
        <rFont val="Arial"/>
        <family val="2"/>
      </rPr>
      <t>,</t>
    </r>
    <r>
      <rPr>
        <sz val="10"/>
        <rFont val="Arial"/>
        <family val="2"/>
      </rPr>
      <t xml:space="preserve"> suscrito con el Departamento del Cauca e</t>
    </r>
    <r>
      <rPr>
        <sz val="10"/>
        <color indexed="8"/>
        <rFont val="Arial"/>
        <family val="2"/>
      </rPr>
      <t>l</t>
    </r>
    <r>
      <rPr>
        <b/>
        <sz val="10"/>
        <color indexed="8"/>
        <rFont val="Arial"/>
        <family val="2"/>
      </rPr>
      <t xml:space="preserve"> </t>
    </r>
    <r>
      <rPr>
        <sz val="10"/>
        <color indexed="8"/>
        <rFont val="Arial"/>
        <family val="2"/>
      </rPr>
      <t>13 de Noviembre de 200</t>
    </r>
    <r>
      <rPr>
        <b/>
        <sz val="10"/>
        <color indexed="8"/>
        <rFont val="Arial"/>
        <family val="2"/>
      </rPr>
      <t>9</t>
    </r>
    <r>
      <rPr>
        <sz val="10"/>
        <rFont val="Arial"/>
        <family val="2"/>
      </rPr>
      <t xml:space="preserve"> ,entre  los intervinientes. 
 </t>
    </r>
  </si>
  <si>
    <t>La entrega y recibo de las obras se fundamentara en las siguientes condiciones:</t>
  </si>
  <si>
    <r>
      <t>En el Municipio de Timbio, Cauca, previo recibo a satisfacción por la contratante y la  Interventoría de la obra; como quedo escrito lineas atras representado por el Señora Alcaldesa Dra MARIBEL PERAFAN GALLARDO, se hace entrega al municipio de Timbio</t>
    </r>
    <r>
      <rPr>
        <sz val="10"/>
        <rFont val="Arial"/>
        <family val="2"/>
      </rPr>
      <t xml:space="preserve"> de la obra realizada, para que sean tramitadas y ejecutada conforme a su naturaleza técnica y al objeto para el que fueron concebidas, esto es, la prestación efectiva de los servicios públicos, de manera que sean útiles para el mejoramiento de la calidad de vida de los ciudadanos y la cobertura de servicios. 
Estas obras son las descritas en el anexo de esta acta denominado: CUADRO DE CANTIDADES RECIBIDAS A ENTERA SATISFACCIÓN.
</t>
    </r>
  </si>
  <si>
    <r>
      <rPr>
        <b/>
        <sz val="10"/>
        <rFont val="Arial"/>
        <family val="2"/>
      </rPr>
      <t>DESCRIPCIÓN GENERAL DE LA OBRA A ENTREGAR Y RECIBIR:  Viaductos y tuberia de aduccion</t>
    </r>
    <r>
      <rPr>
        <sz val="10"/>
        <rFont val="Arial"/>
        <family val="2"/>
      </rPr>
      <t xml:space="preserve">
</t>
    </r>
    <r>
      <rPr>
        <sz val="10"/>
        <color indexed="10"/>
        <rFont val="Arial"/>
        <family val="2"/>
      </rPr>
      <t xml:space="preserve">  </t>
    </r>
    <r>
      <rPr>
        <sz val="10"/>
        <rFont val="Arial"/>
        <family val="2"/>
      </rPr>
      <t xml:space="preserve">                                                                                                                                                                                                                                                                                </t>
    </r>
  </si>
  <si>
    <r>
      <t>P</t>
    </r>
    <r>
      <rPr>
        <b/>
        <sz val="10"/>
        <rFont val="Arial"/>
        <family val="2"/>
      </rPr>
      <t>RIMERA: COMPONENTES TECNICOS - ALTERNATIVA DE SOLUCION OPTIMA SEGUN LA NORMA RAS 2000
Rehabilitacion de la tuberia: esta se da por la desviacion causada por un deslizamiento de tierra, en un tramo de 793 metros lineales, con la cual se garantiza el sumnistro de agua por gravedad.
La construccion de dos viaductos en angulo de 4"x42 x 5/16" para los cordones superior e inferior, celosias en angulo de 11/2" x 11/2" x 1/4", de 30,00 metros lineales cada uno</t>
    </r>
    <r>
      <rPr>
        <b/>
        <sz val="10"/>
        <color indexed="10"/>
        <rFont val="Arial"/>
        <family val="2"/>
      </rPr>
      <t>.</t>
    </r>
    <r>
      <rPr>
        <b/>
        <sz val="10"/>
        <color indexed="53"/>
        <rFont val="Arial"/>
        <family val="2"/>
      </rPr>
      <t xml:space="preserve"> </t>
    </r>
  </si>
  <si>
    <t xml:space="preserve">SEGUNDA: DESTINACION: La obra objeto de entrega deberá ser destinada por el Municipio a la prestacion del servicio de acueducto, tal como se contempla en los objetivos del Plan Departamental de Agua EMCASERVICIOS S.A. E.S.P.,  y con el fin de que ejerza dominio sobre estas obras en beneficio de la comunidad y el aseguramiento de la prestación fu tura del servicio de acueducto,
TERCERA: OBLIGACIONES DEL MUNICIPIO: Se obliga a lo  siguiente: 
1.  A la vigilancia de adjudicacion..
2.  A la veeduria de la futura construccion
3.  A asumir los aportes necesarios para el cumplimiento con su presupuesto. 
A partir de la fecha de entrega asume plenamente todas los deberes de seguimiento, garantizando su neutralidad y transparencia adecuada.
</t>
  </si>
  <si>
    <t>CUARTA: INTRANSMISIBILIDAD. Los derechos del Municipio sobre la obra entregada por el Plan Departamental de Agua EMCASERVICIOS S.A E.S.P, objeto de este acto son intransmisibles o no sujetos de enajenación, pero si será admisible en los términos expuestos, con los objetivos y obligaciones descritas y naturales, la entrega a titulo de tenencia con el fin de garantizar los derechos de la obra Construccion, rehabilitacion Acueducto veredal Las Cruces, Municipio de Timbio, pero aún en este caso, deberá velar por la integridad de los productos recibidos.  
QUINTA: A partir del momento de la entrega material de la obra y sus componentes descritos será responsabilidad del Municipio de Timbio, la totalidad de los gastos directos o indirectos necesarios para el adecuado seguimiento y funcionalidad de los pasos de adjudicacion, o cualquiera que se genere para mantener tambien sus soportes documentales requeridos por las autoriadades ambientales.</t>
  </si>
  <si>
    <r>
      <rPr>
        <sz val="10"/>
        <rFont val="Arial"/>
        <family val="2"/>
      </rPr>
      <t>SEXTA: Tanto el Municipio de Timbio</t>
    </r>
    <r>
      <rPr>
        <sz val="10"/>
        <color indexed="10"/>
        <rFont val="Arial"/>
        <family val="2"/>
      </rPr>
      <t>,</t>
    </r>
    <r>
      <rPr>
        <sz val="10"/>
        <rFont val="Arial"/>
        <family val="2"/>
      </rPr>
      <t xml:space="preserve"> quien declara que recibe a entera satisfacción la</t>
    </r>
    <r>
      <rPr>
        <b/>
        <sz val="10"/>
        <color indexed="60"/>
        <rFont val="Arial"/>
        <family val="2"/>
      </rPr>
      <t xml:space="preserve"> </t>
    </r>
    <r>
      <rPr>
        <b/>
        <sz val="10"/>
        <color indexed="8"/>
        <rFont val="Arial"/>
        <family val="2"/>
      </rPr>
      <t>obra</t>
    </r>
    <r>
      <rPr>
        <sz val="10"/>
        <rFont val="Arial"/>
        <family val="2"/>
      </rPr>
      <t xml:space="preserve"> y que le consta su viabilidad, así como quien entrega, EMCASERVICIOS S.A.E.S.P., contratante de la obras en el marco del Plan Departamental de Agua y Alcantarillado del Cauca, se comprometen a efectuar las diligencias administrativas, contables y jurídicas que se requieran y sean consecuentes con la entrega que se oficializa a través de este acto. 
Se firma el presente documento a plena conformidad y en el marco del Plan Departamental de Agua del Cauca, Emcaservicios S.A. E.S.P.,  con el objetivo de garantizar la prestación del servicio en el Municipio de</t>
    </r>
    <r>
      <rPr>
        <sz val="10"/>
        <color indexed="10"/>
        <rFont val="Arial"/>
        <family val="2"/>
      </rPr>
      <t xml:space="preserve"> </t>
    </r>
    <r>
      <rPr>
        <sz val="10"/>
        <rFont val="Arial"/>
        <family val="2"/>
      </rPr>
      <t>Timbio</t>
    </r>
    <r>
      <rPr>
        <b/>
        <sz val="10"/>
        <color indexed="60"/>
        <rFont val="Arial"/>
        <family val="2"/>
      </rPr>
      <t xml:space="preserve"> - </t>
    </r>
    <r>
      <rPr>
        <sz val="10"/>
        <rFont val="Arial"/>
        <family val="2"/>
      </rPr>
      <t>Cauca. 
Las partes manifiestan libremente que han procedido a la lectura total y cuidadosa del presente documento, por lo que en consecuencia, se obligan a todo lo dispuesto y descrito en el presente.</t>
    </r>
    <r>
      <rPr>
        <sz val="10"/>
        <color indexed="10"/>
        <rFont val="Arial"/>
        <family val="2"/>
      </rPr>
      <t xml:space="preserve">
</t>
    </r>
  </si>
  <si>
    <t>Hacen parte de la presente entrega y, consecuencialmente de esta Acta, Las Actas de Recibo Final y Acta de Liquidacion de la obra  del Contrato 06 de 2011. Así mismo, se informa que los documentos originales de esta obra reposan  en las oficinas DE EMCASERVICIOS DEL CAUCA S.A E.S.P.
Para mayor constancia, se firma len el despacho de la administración municipal de Timbio - Cauca, la presente ACTA DE ENTREGA Y RECIBO A SATISFACCION DE LA OBRA Construccion, rehabilitacion Acueducto veredal Las Cruces, Municipio de Timbio, MENCIONADAS PARA SU ADECUADA DESTINACION Y SALVAGUARDA, EN MARCO DEL PLAN DEPARTAMENTAL DE AGUA DEL CAUCA, EMCASERVICIOS S.A E.S.P., por los que en ella intervienen, a los  ____________________________________, sin dejar constancia adicional.</t>
  </si>
  <si>
    <t xml:space="preserve">             ______________________________________                                 ______________________________________</t>
  </si>
  <si>
    <t>MARIBEL PERAFAN GALLARDO</t>
  </si>
  <si>
    <r>
      <t>ALCALDE DEL MUNICIPIO DE TIMBIO</t>
    </r>
    <r>
      <rPr>
        <sz val="10"/>
        <color indexed="10"/>
        <rFont val="Arial"/>
        <family val="2"/>
      </rPr>
      <t xml:space="preserve"> </t>
    </r>
    <r>
      <rPr>
        <sz val="10"/>
        <rFont val="Arial"/>
        <family val="2"/>
      </rPr>
      <t>- CAUCA</t>
    </r>
  </si>
  <si>
    <t>GERENTE EMCASERVICIOS S.A .E.SP.</t>
  </si>
  <si>
    <t>SE HACE ENTREGA TOTAL DE LA OBRA  CONSTRUIDA Y TODOS LOS COMPONENTES EJECUTADOS CONFORME AL CONTRATO No. Xxxxxxxxxx</t>
  </si>
  <si>
    <t>CONTRATO DE CONSULTORIA</t>
  </si>
  <si>
    <t xml:space="preserve">.+/- </t>
  </si>
  <si>
    <r>
      <t>.</t>
    </r>
    <r>
      <rPr>
        <b/>
        <sz val="9"/>
        <color theme="1"/>
        <rFont val="Arial"/>
        <family val="2"/>
      </rPr>
      <t xml:space="preserve">+/- </t>
    </r>
    <r>
      <rPr>
        <sz val="9"/>
        <color theme="1"/>
        <rFont val="Arial"/>
        <family val="2"/>
      </rPr>
      <t xml:space="preserve"> </t>
    </r>
  </si>
  <si>
    <t>CONTRATO  N°</t>
  </si>
  <si>
    <t>PLAZO INICIAL</t>
  </si>
  <si>
    <t>INICIACION</t>
  </si>
  <si>
    <t>OTROSÍ No 1 (PRORROGA)</t>
  </si>
  <si>
    <t>27/10/2015 (3 MESES)</t>
  </si>
  <si>
    <t>ACTA DE SUSPENSION No. 1</t>
  </si>
  <si>
    <t>ACTA DE REINICIO No. 1</t>
  </si>
  <si>
    <t>OTROSÍ No 2 (PRORROGA)</t>
  </si>
  <si>
    <t>04/02/2016 (2 MESES)</t>
  </si>
  <si>
    <t>ACTA DE SUSPENSION No. 2</t>
  </si>
  <si>
    <t>ACTA DE REINICIO No. 2</t>
  </si>
  <si>
    <t>ACTA DE SUSPENSION No. 3</t>
  </si>
  <si>
    <t>VALOR CONTRATO DE OBRA  INICIAL</t>
  </si>
  <si>
    <t>VALOR ADICIONAL:</t>
  </si>
  <si>
    <t>VALOR TOTAL CONTRATO:</t>
  </si>
  <si>
    <t>VALOR CONTRATODE INTERVENTORIA INICIAL</t>
  </si>
  <si>
    <t>VALOR TOTAL CONTRATADO</t>
  </si>
  <si>
    <t>VALOR TOTAL ADICIONAL</t>
  </si>
  <si>
    <t>BALANCE GENERAL</t>
  </si>
  <si>
    <t>PORCENTAJE DE ADICION</t>
  </si>
  <si>
    <t>CONSORCIO SM</t>
  </si>
  <si>
    <t>JOSE FERNANDO CASTILLO CAÑADA</t>
  </si>
  <si>
    <t>VIABILIZACION</t>
  </si>
  <si>
    <t>REFORMULACION No. 1</t>
  </si>
  <si>
    <t>JUSTIFICACION</t>
  </si>
  <si>
    <t>VALOR OBRA COSTO DIRECTO</t>
  </si>
  <si>
    <t>ADMINISTRACIÓN:</t>
  </si>
  <si>
    <t>IMPREVISTO:</t>
  </si>
  <si>
    <t>UTILIDAD:</t>
  </si>
  <si>
    <t>VALOR TOTAL COSTOS INDIRECTOS (AIU)</t>
  </si>
  <si>
    <t>IVA UTILIDAD</t>
  </si>
  <si>
    <t>SALDO PROCESO DE CONTRATACION</t>
  </si>
  <si>
    <t>VALOR TOTAL OBRA COSTOS DIRECTOS + COSTOS INDIRECTOS</t>
  </si>
  <si>
    <t>INTERVENTORIA</t>
  </si>
  <si>
    <t>CODIGO ITEM</t>
  </si>
  <si>
    <t>DESCRIPCION ITEM</t>
  </si>
  <si>
    <t>UNIDAD DE MEDIDA</t>
  </si>
  <si>
    <t>PRECIO UNITARIO</t>
  </si>
  <si>
    <t>VR. TOTAL</t>
  </si>
  <si>
    <t>VR TOTAL</t>
  </si>
  <si>
    <t>Preliminares</t>
  </si>
  <si>
    <t>Limpieza y descapote</t>
  </si>
  <si>
    <t>m2</t>
  </si>
  <si>
    <t>Las cantidades contractuales no contemplaban el descapote para la vía de acceso a la obra,  fundamental para el suministro de materiales y ademas de que la cantidad presupuestada no coincide con la de los planos, ni con la cantidad de obra, aumentandose en 1341.85m2 con respecto a la cantidad presupuestada</t>
  </si>
  <si>
    <t>Localización y replanteo</t>
  </si>
  <si>
    <t>Se aumentan 1341,85 m2 con respecto a la cantidad presupuestada debido a que lo presupuestado inicialmente en el diseño, no coincide con la cantidad real requerida, siendo esta la misma del descapote.</t>
  </si>
  <si>
    <t>Excavación en material común incluye desalojo</t>
  </si>
  <si>
    <t>m3</t>
  </si>
  <si>
    <t>Debido a la ampliación para la pavimentación de la vía que pasa por un lado del terreno de la obra; es necesario correr las estructuras como el sedimentador, filtros, y floculadores en una zona segura en la cual no se arriesgue la estabilización del talud de la vía en mención. Por causa de este cambio de localización y debido a que la cantidad establecida contractualmente no coincide con la realidad, las excavaciones aumentaran debido a la topografía del área a construir, ya que hay que respetar las diferentes pendientes y niveles del diseño hidráulico. Si se ejecutan solamente las cantidades contractuales de excavación no se podrían realizar las obras, por tal razon se aumentan las cantidades en 2309,59 m3 con respecto al presupuesto inicial.</t>
  </si>
  <si>
    <t>Excavación en material Conglomerado incluye desalojo</t>
  </si>
  <si>
    <t>Al realizar las excavaciones se encontró material rocoso tipo roca muerta, de características muy diferentes al material limoarcillosos denominado material común; aumentando las cantidades presupuestadas inicialmete en el proyecto.</t>
  </si>
  <si>
    <t>Rellenos compactados con material de sitio</t>
  </si>
  <si>
    <t>Debido a que las excavaciones se hicieron más profundas por las razones mencionadas con anterioridad; de igual manera los rellenos sufrieron aumento.</t>
  </si>
  <si>
    <t>Rellenos compactados con material de prestamo</t>
  </si>
  <si>
    <t>El material encontrado en el sitio es un material rocoso de muy buenas carateristicas para ser usado en rellenos, por lo que no hubo la necesidad de suministrar dicho material, mediante este items.</t>
  </si>
  <si>
    <t>Concreto para andenes 175 kg/cm2</t>
  </si>
  <si>
    <t>La cantidad a realizar se aumento en 12,03 m3 con respecto a la cantidad presupuestada inicialmente, ya que no coincidia la cantidad del presupuesto con la establecida en los planos.</t>
  </si>
  <si>
    <t>Caja de inspeccion de 1.2x1.2</t>
  </si>
  <si>
    <t>un</t>
  </si>
  <si>
    <t>No existen en los planos y no tienen ninguna funcion en la obra</t>
  </si>
  <si>
    <t>1,9</t>
  </si>
  <si>
    <t>Pozo de inspeccion D=1.60 m.</t>
  </si>
  <si>
    <t>La altura de la excavacion para los filtros, sedimentadores y tanque de cloracion aumento en primer lugar debido a que las cantidades presupuestadas no coincidian, con las planteadas en los planos y en segundo lugar debido al desplazamiento del paramento de la via más de lo que se tenia planteado en los diseños; ya que está se pavimento y en su proceso constructivo se genero un talud en el lote destinado para la planta de tratamiento; por tal razon la altura de las camaras colectoras tambien aumento.</t>
  </si>
  <si>
    <t>1,10</t>
  </si>
  <si>
    <t>Tuberia PVC 6" RDE 21</t>
  </si>
  <si>
    <t>ml</t>
  </si>
  <si>
    <t>Este items se aumenta en 120 metros lineales, debido a que la tuberia que viene de la bocatoma hacia el tanque de almacenamiento pasa unos 20 mts mas abajo del nivel de entrada al floculador construido, por lo que se tendria que hacer una gran excavacion en el talud para que esta tuberia pase por debajo del anden de acceso a la bodega que se intersecta en ese punto con este tubo, pudiendo ocacionar una desestabilizacion del talud que tiene una pendiente muy pronunciada en ese punto y esta muy cercano al tanque del floculador. Por esta razon es necesario que nos conectemos de forma paralela al largo del floculador 114 mts mas arriba, de tal modo que no se produzcan perdidas y no se intersecte con el anden de ingreso a la bodega. Es de resaltar que el proyecto original, no contemplaba dicha cantidad para la conexion de la PTAP, a la aducción del acueducto en mención.</t>
  </si>
  <si>
    <t>1,11</t>
  </si>
  <si>
    <t>Codo PVC 6" x 90º up</t>
  </si>
  <si>
    <t xml:space="preserve">un </t>
  </si>
  <si>
    <t>Se aumenta un codo con respecto a la cantidad presupuestada inicialmente, ya que se utilizaron dos unidades, para cada uno de los desagues del lavado del sedimentador en la entrada a la camara colectora.</t>
  </si>
  <si>
    <t>Subtotal Preliminares</t>
  </si>
  <si>
    <t>TOTAL PRELIMINARES</t>
  </si>
  <si>
    <t>SISTEMA DE TRATAMIENTO</t>
  </si>
  <si>
    <t>Concretos</t>
  </si>
  <si>
    <t>2.1.1</t>
  </si>
  <si>
    <t>Concreto imperm. 280 kg/cm2 Muros</t>
  </si>
  <si>
    <t>La cantidad presupuestada inicilmente es mayor en 22,75 m3 , con respecto a la cantidad realmente usada en obra, debido a que no coincidia la cantidad presupuestada con las cantidades sacadas de los planos y plasmada en obra.</t>
  </si>
  <si>
    <t>2.1.2</t>
  </si>
  <si>
    <t>Concreto imperm. 280 kg/cm2 Placas</t>
  </si>
  <si>
    <t>la cantidad presupuestada inicilmente es mayor en 14,64 m3, con respecto a la cantidad realmente usada en obra, por que no coincidia la cantidad presupuestada con las cantidades sacadas de los planos y plasmada en obra.</t>
  </si>
  <si>
    <t>2.1.3</t>
  </si>
  <si>
    <t>Concreto simple 140 kg/cm2, solado y limpieza</t>
  </si>
  <si>
    <t>Se usaron 15,97 m3 de mas debido a que la cantidad presupuestada inicialmente, no coincide con la cantidad real establecida en los planos y ya utilizada en obra.</t>
  </si>
  <si>
    <t>2.1.4</t>
  </si>
  <si>
    <t>Concreto ciclópeo de f'c = 210 Kg/cm2 40% rajón</t>
  </si>
  <si>
    <t>La cantidad presupuestada inicialmente es mayor en 26,16 m3, con respecto a la cantidad utilizada; ya que no coincidia con la cantidad real de obra que fue de 7,64 m3 usado en las tolvas de lodos del sedimentador.</t>
  </si>
  <si>
    <t>2.1.5</t>
  </si>
  <si>
    <t>Acero de refuerzo PDR60</t>
  </si>
  <si>
    <t>KG</t>
  </si>
  <si>
    <t>Se usaron 16906,15 Kg de acero de mas debido a que las cantidades plasmadas en las tablas de los despieces estaban con un grave error, el cual consistia en que solo se estaba contando la primera varilla que se veia en el perfil del diseño y no se tenian en cuanta, las demas que estaban proyectadas detras de estas.</t>
  </si>
  <si>
    <t>2.1.6</t>
  </si>
  <si>
    <t>Cinta para juntas PVC h=0.22m</t>
  </si>
  <si>
    <t>Se usaron 26,50 ml de mas de la cantidad presupuestada inicialmente en el proyecto, ya que la complejidad de la forma irregular de los tanques obligo ha hacer una serie de despieces que incrementaron este item.</t>
  </si>
  <si>
    <t>Subtotal Concretos</t>
  </si>
  <si>
    <t>2.2</t>
  </si>
  <si>
    <t>SISTEMA DE FILTRACION</t>
  </si>
  <si>
    <t>2.2.1</t>
  </si>
  <si>
    <t>Grava de 1/8" a 1"</t>
  </si>
  <si>
    <t>Esta cantidad coincide con las cantidades del diseño y con las cantidades reales usadas en obra.</t>
  </si>
  <si>
    <t>2.2.2</t>
  </si>
  <si>
    <t>Grava de 1 1/4" a 2"</t>
  </si>
  <si>
    <t>2.2.3</t>
  </si>
  <si>
    <t>Arena Limpia</t>
  </si>
  <si>
    <t>Esta cantidad se aumento en 0;36 m3, con respecto a la cantidad presupuestada anicialmente.</t>
  </si>
  <si>
    <t>2.2.4</t>
  </si>
  <si>
    <t>Antracita</t>
  </si>
  <si>
    <t>Esta cantidad se aumento en 0;10 m3, con respecto a la cantidad presupuestada anicialmente.</t>
  </si>
  <si>
    <t>2.2.5</t>
  </si>
  <si>
    <t>Malla No. 6 mm</t>
  </si>
  <si>
    <t>2.2.6</t>
  </si>
  <si>
    <t>Malla No. 10 mm</t>
  </si>
  <si>
    <t>2.2.7</t>
  </si>
  <si>
    <t>Soporte de falso Fondo de Boquillas</t>
  </si>
  <si>
    <t>Se usaron 0,84 m2 de menos con respecto a la cantidad presupuestada, pero la cantidad estuvo muy cercana a la realidad.</t>
  </si>
  <si>
    <t>Subtotal Lechos Filtrantes</t>
  </si>
  <si>
    <t>Accesorios y tubería PVC</t>
  </si>
  <si>
    <t>2,3,1</t>
  </si>
  <si>
    <t>Suministro e Instalación Tubería PVC 4" presión rde 32.5</t>
  </si>
  <si>
    <t>Se aumentaron 50,92 ml de tuberia de 4" pvc presión con respecto al presupuesto inicial por que no se tuvieron en cuenta algunos elementos.</t>
  </si>
  <si>
    <t>2,3,2</t>
  </si>
  <si>
    <t>Suministro e Instalación Tubería PVC 3" presión rde 21</t>
  </si>
  <si>
    <t>En el diseño no se contempla el uso de tuberia de 3" presión por lo tanto no se utilizó.</t>
  </si>
  <si>
    <t>2,3,3</t>
  </si>
  <si>
    <t>Suministro e Instalación Tee 4" PVC Presión</t>
  </si>
  <si>
    <t>Un</t>
  </si>
  <si>
    <t>La cantidad usada en obra coincide con la cantidad presupuestada inicialmente</t>
  </si>
  <si>
    <t>2,3,4</t>
  </si>
  <si>
    <t>Suministro e Instalación Codo PVC 3" Presión 90º</t>
  </si>
  <si>
    <t>En el diseño no se contempla el uso de codos de 3" presión por lo tanto no se utilizó.</t>
  </si>
  <si>
    <t>2,3,5</t>
  </si>
  <si>
    <t>Suministro e Instalación Tuberia PVC sanitaria 4"</t>
  </si>
  <si>
    <t>La cantidad presupuestada inicialmente no coincidia con las cantidades sacadas de los diseños por lo que se utilizaron 65,80 ml de tuberia de mas, en los desagues del floculador y el sistema de filtracion.</t>
  </si>
  <si>
    <t>2,3,6</t>
  </si>
  <si>
    <t>Suministro e Instalación Tuberia PVC sanitaria 3"</t>
  </si>
  <si>
    <t>Se usaron 17,10 ml de mas, con respecto a la cantidad presupuestada inicialmente debido a que no se tenian contemplados algunos desagues como los del floculador, ademas de la tuberia de la caseta de operaciones. Se usaran 25 mts mas para conectar la caja de inspeccion de la caseta de operaciones a los tanques de los filtros del pozo septico.</t>
  </si>
  <si>
    <t>2,3,7</t>
  </si>
  <si>
    <t>Suministro e Instalación Codo PVC 90º 4" sanitario</t>
  </si>
  <si>
    <t>UN</t>
  </si>
  <si>
    <t>Se usaron 5 codos de mas que la cantidad presupuestada inicialmente, ya que en el diseño no se mostraban las instalaciones sanitarias de la caseta de operaciones.</t>
  </si>
  <si>
    <t>2,3,8</t>
  </si>
  <si>
    <t>Suministro e Instalación Tee PVC 4" sanitaria</t>
  </si>
  <si>
    <t>Se usaron 5 tees de mas ya que en el presupuesto inicial no se  contemplaban las tees del sistema de filtracion ni las tees del diseño hidraulico de la caseta de operaciones.</t>
  </si>
  <si>
    <t>Subtotal accesorios PVC</t>
  </si>
  <si>
    <t>2,4</t>
  </si>
  <si>
    <t>Accesorios en hierro fundido.</t>
  </si>
  <si>
    <t>2.4.1</t>
  </si>
  <si>
    <t>Suministro e Instalación Válvula de compuerta HF 4"</t>
  </si>
  <si>
    <t>Se usaron 12 valvulas de mas con respecto al presupuesto inicial por que las cantidades presupuestadas no coincidian con las cantidades de los diseños.</t>
  </si>
  <si>
    <t>2.4.2</t>
  </si>
  <si>
    <t>Suministro e Instalación Pasamuro HF D=6" L 0,75m</t>
  </si>
  <si>
    <t>La cantidad presupuestada para este item coincide con la cantidad usada en obra</t>
  </si>
  <si>
    <t>2.4.3</t>
  </si>
  <si>
    <t>Suministro e Instalación Pasamuro HF D=4" L 0,75m</t>
  </si>
  <si>
    <t>Se usaron 9 pasamuros de mas que los presupuestados inicialmente por que la cantidad presupuestada no coincidia con los diseños</t>
  </si>
  <si>
    <t>2.4.4</t>
  </si>
  <si>
    <t>Suministro e Instalación Válvula HF vastago ascendente bridada D=6"</t>
  </si>
  <si>
    <t>Estas valvulas no se usaron por que no estan en el diseño</t>
  </si>
  <si>
    <t>Subtotal accesorios HF</t>
  </si>
  <si>
    <t>2,5</t>
  </si>
  <si>
    <t>Otros Accesorios</t>
  </si>
  <si>
    <t>2.5.1</t>
  </si>
  <si>
    <t>Cono en lámina de hierro D=0.5m, + aro en hierro</t>
  </si>
  <si>
    <t>No se usaron por que no estan en el diseño</t>
  </si>
  <si>
    <t>2.5.2</t>
  </si>
  <si>
    <t>Compuerta metálica de doble acción h=4.10m D=6"</t>
  </si>
  <si>
    <t>2.5.3</t>
  </si>
  <si>
    <t>Compuerta lateral h=5.65m D=6"</t>
  </si>
  <si>
    <t>Esta cantidad coincide con la cantidad presupuestada inicialmente y se utilizaron en la camara de desague del sedimentador</t>
  </si>
  <si>
    <t>2.5.4</t>
  </si>
  <si>
    <t>Compuerta lateral h=3.40m D=6"</t>
  </si>
  <si>
    <t>2.5.5</t>
  </si>
  <si>
    <t>Compuerta lateral h=3.80m D=4"</t>
  </si>
  <si>
    <t>2.5.6</t>
  </si>
  <si>
    <t>Compuerta en lámina 0.40x0.50m</t>
  </si>
  <si>
    <t>2.5.7</t>
  </si>
  <si>
    <t>Compuerta metálica 0.25x0.60m para floculadores</t>
  </si>
  <si>
    <t>2.5.8</t>
  </si>
  <si>
    <t>Compuerta deslizable en madera 0.4x0.5m</t>
  </si>
  <si>
    <t>2.5.9</t>
  </si>
  <si>
    <t>Escalera tipo uña de gato D=1/2"</t>
  </si>
  <si>
    <t>Se usaron 10 en el cuarto de valvulas de agua filtrada y se usara 36 en las camaras colectoras</t>
  </si>
  <si>
    <t>2.5.10</t>
  </si>
  <si>
    <t>Canaleta en lamina galvanizada dentada cal 16 L=3.65m</t>
  </si>
  <si>
    <t>2.5.11</t>
  </si>
  <si>
    <t>Canaletas prefabricadas perforadas L=1.10m E=0.08m</t>
  </si>
  <si>
    <t>2.5.12</t>
  </si>
  <si>
    <t>Módulos de sedimentación tipo colmena circulares, en laminas plásticas grandes (1.04 m de alto) ABS, termo formadas.</t>
  </si>
  <si>
    <t>Se usaron 0;48 m2 de mas con respecto a la cantidad presupuestados inicialmente, de acuerdo a lo establecido en los planos.</t>
  </si>
  <si>
    <t>2.5.13</t>
  </si>
  <si>
    <t>Tanque de adición de sulfato 500 l</t>
  </si>
  <si>
    <t>Esta cantidad coincide con la cantidad presupuestada inicialmente.</t>
  </si>
  <si>
    <t>2.5.14</t>
  </si>
  <si>
    <t>Tapa acceso en hierro fundido D=0.6m</t>
  </si>
  <si>
    <t>Subtotal otros accesorios</t>
  </si>
  <si>
    <t>TOTAL SISTEMA DE TRATAMIENTO</t>
  </si>
  <si>
    <t>TANQUE DE CONTACTO DE CLORO</t>
  </si>
  <si>
    <t>3.1.1</t>
  </si>
  <si>
    <t>Concreto imper. 280 kg/cm2, para losa e = 20 cm.</t>
  </si>
  <si>
    <t>La cantidad presupuestada inicialmente es mayor, ya que no coincide con las cantidades en los planos y por lo tanto tampoco coincide con las cantidades de obra. Esta cantidad disminiye en 9,28 m3</t>
  </si>
  <si>
    <t>3.1.2</t>
  </si>
  <si>
    <t>Concreto imper. 280 kg/cm2, para Muro e = 20 cm.</t>
  </si>
  <si>
    <t xml:space="preserve">La cantidad presupuestada  es mayor por que no coincide con las cantidades en los planos y por lo tanto tampoco coincide con las cantidades de obra. Esta cantidad disminuye en 11,64 m3. </t>
  </si>
  <si>
    <t>3.1.3</t>
  </si>
  <si>
    <t>Kg</t>
  </si>
  <si>
    <t>Esta cantidad de acero se aumentan  688,79 Kg, con respecto a la cantidad  presupuestada debido a que no se tuvieron en cuenta, los separadores, la losa superior del tanque de cloracion, ni el acero de las cajas de proteccion de las valvulas.</t>
  </si>
  <si>
    <t>3.1.4</t>
  </si>
  <si>
    <t>Solado de limpieza</t>
  </si>
  <si>
    <t>La cantidad en obra fue menor a la cantidad presupuestada inicialmente, debido a errores en los calculos del presupuesto. Esta cantidad disminuye en 1,07 m3</t>
  </si>
  <si>
    <t>3.1.5</t>
  </si>
  <si>
    <t>La cantidad en obra fue menor a la cantidad presupuestada inicialmente, debido a errores en los calculos del presupuesto. Esta cantidad disminiye en 22 m3.</t>
  </si>
  <si>
    <t>Subtotal concretos</t>
  </si>
  <si>
    <t>3.2.1</t>
  </si>
  <si>
    <t>No se utilizo ningun pasamuro de 6", en el tanque de cloracion debido a que todo el sistema de entrada y salida de agua esta diseñado en 4"</t>
  </si>
  <si>
    <t>3.2.2</t>
  </si>
  <si>
    <t>Codo Bridado HF 6"</t>
  </si>
  <si>
    <t>No se utilizo ningun codo de 6", en el tanque de cloracion debido a que todo el sistema de entrada y salida de agua esta diseñado en 4"</t>
  </si>
  <si>
    <t>3.3.1</t>
  </si>
  <si>
    <t>Valvula de Compuerta 6" con Volante</t>
  </si>
  <si>
    <t>Esta cantidad presupuestada coincide con la cantidad utilizada en obra. Esta valvula se instalo en la entrada de agua al floculador</t>
  </si>
  <si>
    <t>3.3.2</t>
  </si>
  <si>
    <t>Escalera uña de gato 1/2 "</t>
  </si>
  <si>
    <t>Aun no estan instaladas pero deben ir en el acceso al tanque  para bajar a hacer el lavado de este.</t>
  </si>
  <si>
    <t>TOTAL TANQUE DE CONTACTO DE CLORO</t>
  </si>
  <si>
    <t>CASETA DE CLORACION</t>
  </si>
  <si>
    <t>4.1.1</t>
  </si>
  <si>
    <t>Columnas de 25 x 25 cm concreto 3000 psi</t>
  </si>
  <si>
    <t>Su construcción no se llevo a cabo por el balanceo del contrato debido a items no previstos y mayores cantidades de obra, que se debian realizar para el funcionamiento hidraulico de la PTAP. Su construcción es necesaria para el control de cloro usado en la planta.</t>
  </si>
  <si>
    <t>4.1.2</t>
  </si>
  <si>
    <t>Vigas de 25 x 25 cm concreto 3000 psi</t>
  </si>
  <si>
    <t>4.1.3</t>
  </si>
  <si>
    <t>Dicha cantidad aumento 200 Kg de acero con respecto a la cantidad presupuestada incialmente, debido a lo establecido en los planos. Su construcción no se llevo a cabo por el balanceo del contrato debido a items no previstos y mayores cantidades de obra, que se debian realizar para el funcionamiento hidraulico de la PTAP. Su construcción es necesaria para el control de cloro usado en la planta.</t>
  </si>
  <si>
    <t>subtotal concretos</t>
  </si>
  <si>
    <t>Mampostería</t>
  </si>
  <si>
    <t>4.2.1</t>
  </si>
  <si>
    <t>Muro en soga e= 15 cm, mortero 1:3 para pega.</t>
  </si>
  <si>
    <t>Dicha cantidad aumento 10 m2, con respecto a la cantidad presupuestada inicialmente, debido a lo establecido en los planos. Su construcción no se llevo a cabo por el balanceo del contrato debido a items no previstos y mayores cantidades de obra, necesarios para el funcionamiento hidraulico de la PTAP. Su construcción es necesaria para el control de cloro usado en la planta.</t>
  </si>
  <si>
    <t>4.2.2</t>
  </si>
  <si>
    <t>Repello muros internos</t>
  </si>
  <si>
    <t>Dicha cantidad aumento 52 m2 con respecto a la cantidad presupuestada inicialmente, debido a lo establecido en los planos. Su construcción no se llevo a cabo por el balanceo del contrato debido a items no previstos y mayores cantidades de obra,  necesarios para el funcionamiento hidraulico de la PTAP. Su construcción es necesaria para el control de cloro usado en la planta.</t>
  </si>
  <si>
    <t>Subtotal mampostería</t>
  </si>
  <si>
    <t>Carpintería metálica</t>
  </si>
  <si>
    <t>4.3.1</t>
  </si>
  <si>
    <t>Puerta metalica en cal 18 2,1*1</t>
  </si>
  <si>
    <t>Su construcción no se llevo a cabo por el balanceo del contrato debido a items no previstos y mayores cantidades de obra, necesarios para el funcionamiento hidraulico de la PTAP. Su construcción es necesaria para el control de cloro usado en la planta.</t>
  </si>
  <si>
    <t>4.3.2</t>
  </si>
  <si>
    <t>Calados en concreto ( 20*20*20) para ventilación</t>
  </si>
  <si>
    <t>No se instalaron ya que en la zona se dificulta la obtencion de este material, en su lugar se instalará ladrillo calado.</t>
  </si>
  <si>
    <t>Subtotal carpintería</t>
  </si>
  <si>
    <t>Pisos y Pintura</t>
  </si>
  <si>
    <t>4.4.1</t>
  </si>
  <si>
    <t>Esmalte sintético para puertas y ventanas</t>
  </si>
  <si>
    <t>4.4.2</t>
  </si>
  <si>
    <t>Pintura en vinilo para muros interiores y exteriores</t>
  </si>
  <si>
    <t>4.4.3</t>
  </si>
  <si>
    <t>Enchape de piso en ceramica</t>
  </si>
  <si>
    <t>Subtotal pintura</t>
  </si>
  <si>
    <t>Cubierta</t>
  </si>
  <si>
    <t>4.5.1</t>
  </si>
  <si>
    <t>Teja ondulada en asbesto cemento # 6</t>
  </si>
  <si>
    <t>4.5.2</t>
  </si>
  <si>
    <t>Templete en varilla de 1/2</t>
  </si>
  <si>
    <t>4.5.3</t>
  </si>
  <si>
    <t>Correas met Perfil PHR C 220 X 80 X 2.5 mm</t>
  </si>
  <si>
    <t>Subtotal Cubierta</t>
  </si>
  <si>
    <t>TOTAL CASETA DE CLORACION</t>
  </si>
  <si>
    <t>LECHO DE SECADO DE LODOS</t>
  </si>
  <si>
    <t>5.1.1</t>
  </si>
  <si>
    <t>Columnas de 20 x 20 cm concreto 3000 psi</t>
  </si>
  <si>
    <t>En los planos del diseño se muestran columnas de 0,3x0,3 m, diferentes a las presupuestadas; por lo que se hizo necesario la creacion de un apu nuevo para este item</t>
  </si>
  <si>
    <t>5.1.2</t>
  </si>
  <si>
    <t>Concreto Losa de Fondo, Zapatas y Muros</t>
  </si>
  <si>
    <t>La cantidad en obra fue menor a la cantidad presupuestada en el contrato debido a errores en los calculos del presupuesto. Esta cantidad disminiye en 7,35  m3.</t>
  </si>
  <si>
    <t>5.1.3</t>
  </si>
  <si>
    <t>Esta cantidad de acero se aumenta 887,53 Kg, con respecto a la cantidad  presupuestada inicialmente debido a que no coinciden las cantidades del presupuesto con las cantidades del diseño.</t>
  </si>
  <si>
    <t>5.2.1</t>
  </si>
  <si>
    <t>Perlin Metalico cal 160 *60*20 (2,0 mm) long 7,00 m</t>
  </si>
  <si>
    <t xml:space="preserve">Se aumentan 10 perlines de cubierta con respecto al presupuesto debido a que la cantidad del presupuesto no coincide con las cantidades de diseño (planos) por lo tanto tampoco coincide con las cantidades en obra </t>
  </si>
  <si>
    <t>Sistema de filtración</t>
  </si>
  <si>
    <t>5.3.1</t>
  </si>
  <si>
    <t>Grava de 3/8" a 3/4"</t>
  </si>
  <si>
    <t>La cantidad contractual coincide exactamente con la cantidad utilizada en obra y que corresponde al diseño (planos) utilizados para la construccion.</t>
  </si>
  <si>
    <t>5.3.2</t>
  </si>
  <si>
    <t>Grava de 1/8" a 3/8"</t>
  </si>
  <si>
    <t>5.3.3</t>
  </si>
  <si>
    <t>5.4.1</t>
  </si>
  <si>
    <t>En el lecho de secado de lodos no se usaron tees de 4" presión, ya que el diseño del filtro esta planteado en su totalidad con tuberia y accesorios sanitarios de 4".</t>
  </si>
  <si>
    <t>5.4.2</t>
  </si>
  <si>
    <t>En el diseño se muestra que el agua tratada del lecho de lodos se vierte a la cuneta de la via al aire libre, pero teniendo en cuenta que  a 50 mts hay una escuela de primaria, por donde pasaria el agua de los lechos; se hace necesario de que estas aguas sean conducidas por tuberia hasta una camara colectora que se encuentra a 120 mts del lecho de lodos, para evitar posibles accidentes y daños a la via. No se hace necesario permiso para verter estas aguas, ya que son similares e incluso menores a las escorrentías producidas por aguas lluvias, su caudal es escaso y esporádico pues solo se dará en el evento de lavado de las estructuras.</t>
  </si>
  <si>
    <t>5.4.3</t>
  </si>
  <si>
    <t>En el lecho de secado de lodos se usaron, un (1)  codo de mas, que la cantidad presupuestada debido a que la cantidad del presupuesto no coincidia con la cantidad del diseño (planos), estos codos se instalaron uno en el sistema de tuberia del filtro y el segundo en el desague del lecho de lodos.</t>
  </si>
  <si>
    <t>5.4.4</t>
  </si>
  <si>
    <t>La cantidad contractual coincide exactamente con la cantidad utilizada en obra, ya que corresponde al diseño o planos utilizados para la construccion del lecho de secado de lodos.</t>
  </si>
  <si>
    <t>5.5.1</t>
  </si>
  <si>
    <t>Suministro e Instalación Pasamuro HF D=4" L 0,20m</t>
  </si>
  <si>
    <t>En el lecho de secado de lodos no se usaron pasamuros de 4", ya que el diseño del lecho de secado de lodos, no se necesitan estos accesorios.</t>
  </si>
  <si>
    <t>5.6.1</t>
  </si>
  <si>
    <t>En el lecho de secado de lodos se usaron 10,81 m2 de mas, que la cantidad presupuestada debido a que la cantidad del presupuesto inicial, no coincidia con la cantidad del diseño plasmada en los planos y materializada en obra.</t>
  </si>
  <si>
    <t>TOTAL LECHO DE SECADO DE LODOS</t>
  </si>
  <si>
    <t>CASETA DE OPERACIONES</t>
  </si>
  <si>
    <t>Acabados</t>
  </si>
  <si>
    <t>6.1.1</t>
  </si>
  <si>
    <t>Se usaron 29;18 m2 mas de enchape de lo que estaba presupuestado inicialmente por que no se tuvieron en cuenta el enchape de los baños y los mesones.</t>
  </si>
  <si>
    <t>6.1.2</t>
  </si>
  <si>
    <t>Repello muros</t>
  </si>
  <si>
    <t>Se usaron 70,58 m2 mas de repello ya que  hubo la necesidad de hacer dos muros mas para delimitar la zona de la oficina del operador de la planta</t>
  </si>
  <si>
    <t>6.1.3</t>
  </si>
  <si>
    <t>Concreto imper. 210 kg/cm2</t>
  </si>
  <si>
    <t>Se usaron 8,29 m3 de concreto de mas ya que en el diseño no se tuvo en cuenta el piso primario de la caseta. Ademas se usaran 1,6 m3 de ccto. En las zapatas y losa de la estructura que soportara el tanque de 2000 litros  para suministro de agua potable a la caseta de operaciones, ya que el diseño no lo tuvo en cuenta.</t>
  </si>
  <si>
    <t>6.1.4</t>
  </si>
  <si>
    <t>Se usaron 7 ml de mas de columnas que la cantidad presupuestada inicialmente, debido a que se incluyo las columnas requeridas para el tanque de almacenamineto de 2000 litros, para el suministro de agua potabñe a la caseta de operaciones, ya que el diseño no lo tuvo en cuenta.</t>
  </si>
  <si>
    <t>6.1.5</t>
  </si>
  <si>
    <t>Se usaron 50,34 ml mas de vigas, ya que no coincidia la cantidad presupuestada inicialmente con las cantidades de los diseños establecidas en los planos.</t>
  </si>
  <si>
    <t>6.1.6</t>
  </si>
  <si>
    <t>Se usaron 41,21 m2 mas de muro en soga, debido a que hubo la necesidad de hacer un nuevo cuarto para la oficina del operario de la planta.</t>
  </si>
  <si>
    <t>6.1.7</t>
  </si>
  <si>
    <t>Suministro e Instalacion Combo Sanitario y Lavamanos incluye Puntos Hidraulicos Y Sanitarios</t>
  </si>
  <si>
    <t>Esta cantidad coincidió con la cantidad presupuestada inicialmente.</t>
  </si>
  <si>
    <t>6.1.8</t>
  </si>
  <si>
    <t>Lavaplatos</t>
  </si>
  <si>
    <t>Esta cantidad coincidió con la cantidad presupuestada inicialmente</t>
  </si>
  <si>
    <t>Subtotal acabados</t>
  </si>
  <si>
    <t>Pintura</t>
  </si>
  <si>
    <t>6.2.1</t>
  </si>
  <si>
    <t>Se usaron 147,47 m2 de mas, debido a que no coincidian las cantidades presupuestadas inicilmente con las cantidades de los diseños establecidas en los planos.</t>
  </si>
  <si>
    <t>6.2.2</t>
  </si>
  <si>
    <t>Se usaron 1068,65 m2 menos de pintura en vinilo, ya que no coincidia la cantidad presupuestada con las cantidades sacadas del diseño y utilizadas en obra.</t>
  </si>
  <si>
    <t>6.3.1</t>
  </si>
  <si>
    <t>Puerta metalica en lamina</t>
  </si>
  <si>
    <t>Se usaron 3,07 m2 de mas de puerta metalica en lamina con respecto a la cantidad presupuestada inicialmente, ya que se utilizo una puerta de mas para verificar directamente el funcionamiento del floculador.</t>
  </si>
  <si>
    <t>6.3.2</t>
  </si>
  <si>
    <t>No se uso por la dificultad de conseguir este material en la zona, se reemplazo por ladrillo calado.</t>
  </si>
  <si>
    <t>6.3.3</t>
  </si>
  <si>
    <t>Ventanas con marco de lámina metálica No. 20 y vidrio traslucido.</t>
  </si>
  <si>
    <t>La cantidad utilizada fue muy parecida a la presupuestada usandose solo 0,39 m2 menos que la cantidad presupuestada.</t>
  </si>
  <si>
    <t>Sistema Eléctrico</t>
  </si>
  <si>
    <t>6.4.1</t>
  </si>
  <si>
    <t>POSTE DE CONCRETO DE 11X510 KGS</t>
  </si>
  <si>
    <t>Este item no se ha ejecutado por que estos recursos se usaron  para cumplir con otras actividades en cuanto a sus cantidades, que estaban muy por debajo de lo que realmente se necesitaba en obra, como lo fueron el acero y  las excavaciones.</t>
  </si>
  <si>
    <t>6.4.2</t>
  </si>
  <si>
    <t>CRUCETA METALICA 64*34*6 DE 2,4 MTS</t>
  </si>
  <si>
    <t>6.4.3</t>
  </si>
  <si>
    <t>DIAGONAL DE 0,68 CON CALAPIE</t>
  </si>
  <si>
    <t>6.4.4</t>
  </si>
  <si>
    <t>AISLADOR TIPO LINE POST PARA 13,2 KV</t>
  </si>
  <si>
    <t>6.4.5</t>
  </si>
  <si>
    <t>PERNO DE MAQUINA DE 1/2 X 1 1/2</t>
  </si>
  <si>
    <t>6.4.6</t>
  </si>
  <si>
    <t>ARANDELA DE PRESION DE 1/2</t>
  </si>
  <si>
    <t>6.4.7</t>
  </si>
  <si>
    <t>PERNO DE MAQUINA DE 5/8 X 10</t>
  </si>
  <si>
    <t>6.4.8</t>
  </si>
  <si>
    <t>ARANDELA DE PRESION DE 5/8</t>
  </si>
  <si>
    <t>6.4.9</t>
  </si>
  <si>
    <t>AISLADOR DE SUSPENSION POLIMERICO</t>
  </si>
  <si>
    <t>6.4.10</t>
  </si>
  <si>
    <t>GRAPA PISTOLA</t>
  </si>
  <si>
    <t>6.4.11</t>
  </si>
  <si>
    <t>VARILLA DE ANCLAJE DE 1,8 M</t>
  </si>
  <si>
    <t>6.4.12</t>
  </si>
  <si>
    <t>BLOQUE DE CONCRETO PARA RETENIDA</t>
  </si>
  <si>
    <t>MT</t>
  </si>
  <si>
    <t>6.4.13</t>
  </si>
  <si>
    <t>GUARDACABOS</t>
  </si>
  <si>
    <t>6.4.14</t>
  </si>
  <si>
    <t>PLATINA DE 4*4 PARA RETENIDA</t>
  </si>
  <si>
    <t>6.4.15</t>
  </si>
  <si>
    <t>AISLADOR TENSOR PARA RETENIDA MEDIA TENSION</t>
  </si>
  <si>
    <t>6.4.16</t>
  </si>
  <si>
    <t>MORDAZAS</t>
  </si>
  <si>
    <t>6.4.17</t>
  </si>
  <si>
    <t>ALAMBRE GALVANIZADO No 12 PARA ENTICE</t>
  </si>
  <si>
    <t>6.4.18</t>
  </si>
  <si>
    <t>CORTACIRCUITOS MONOPOLAR DE 15 KV</t>
  </si>
  <si>
    <t>6.4.19</t>
  </si>
  <si>
    <t>CONECTORES DE EMERGENCIA PARA OPERAR EN CALIENTE</t>
  </si>
  <si>
    <t>6.4.20</t>
  </si>
  <si>
    <t>CONECTOR TIPO DBH</t>
  </si>
  <si>
    <t>6.4.21</t>
  </si>
  <si>
    <t>CUBO METALICO PARA PROTECCIONES</t>
  </si>
  <si>
    <t>6.4.22</t>
  </si>
  <si>
    <t>CABLE DE RETENIDA DE 5/8 PARA RETENIDA</t>
  </si>
  <si>
    <t>6.4.23</t>
  </si>
  <si>
    <t>CABLE ASCR No 1/0</t>
  </si>
  <si>
    <t>6.4.24</t>
  </si>
  <si>
    <t>CRUCETA METALICA 64*64*6 DE 2,4 MTS</t>
  </si>
  <si>
    <t>6.4.25</t>
  </si>
  <si>
    <t>DIAGONAL EN V PARA CRUCETA METALICA DE 2.4 MTS</t>
  </si>
  <si>
    <t>6.4.26</t>
  </si>
  <si>
    <t>PERNO DE MAQUINA DE 1/2 1 1/2</t>
  </si>
  <si>
    <t>6.4.27</t>
  </si>
  <si>
    <t>PERNO DE MAQUINA DE 5/8 *10</t>
  </si>
  <si>
    <t>6.4.28</t>
  </si>
  <si>
    <t>ARENDELA DE PRESION PARA PERNO DE 1/2</t>
  </si>
  <si>
    <t>6.4.29</t>
  </si>
  <si>
    <t>ARANDELA PLANA DE 2*2</t>
  </si>
  <si>
    <t>6.4.30</t>
  </si>
  <si>
    <t>COLLARIN DE 2 SALIDAS</t>
  </si>
  <si>
    <t>6.4.31</t>
  </si>
  <si>
    <t>COLLARIN PARA TRANSFORMADOR</t>
  </si>
  <si>
    <t>6.4.32</t>
  </si>
  <si>
    <t>SISTEMA A TIERRA PARA TRANSFORMADOR</t>
  </si>
  <si>
    <t>6.4.33</t>
  </si>
  <si>
    <t>TRANSFORMADOR MONOFASICO DE 15 KVA</t>
  </si>
  <si>
    <t>6.4.34</t>
  </si>
  <si>
    <t>ESPARRAGOS DE 5/8 * 10</t>
  </si>
  <si>
    <t>6.4.35</t>
  </si>
  <si>
    <t>CABLE THW DE Al AISLADO No 4</t>
  </si>
  <si>
    <t>6.4.36</t>
  </si>
  <si>
    <t>CINTA BANDIT DE 5/8</t>
  </si>
  <si>
    <t>6.4.37</t>
  </si>
  <si>
    <t>HEBILLA PARA CINTA BLANDIT DE 5/8</t>
  </si>
  <si>
    <t>6.4.38</t>
  </si>
  <si>
    <t>CONECTORES DE EMERGANCIA PARA OPERAR EN CALIENTE</t>
  </si>
  <si>
    <t>6.4.39</t>
  </si>
  <si>
    <t>CONECTORES TIPO DBH</t>
  </si>
  <si>
    <t>6.4.40</t>
  </si>
  <si>
    <t>CUBOS METALICOS PARA PROTECCIONES</t>
  </si>
  <si>
    <t>6.4.41</t>
  </si>
  <si>
    <t>PARARRAYOS TIPO INTERPERIE DE 12KV</t>
  </si>
  <si>
    <t>6.4.42</t>
  </si>
  <si>
    <t>6.4.43</t>
  </si>
  <si>
    <t>TUBO GALVANIZADO CONDUIT DE 1"*6 MTS</t>
  </si>
  <si>
    <t>6.4.44</t>
  </si>
  <si>
    <t>TUBERIA PVC DE 2" * 3 MTS</t>
  </si>
  <si>
    <t>6.4.45</t>
  </si>
  <si>
    <t>CURVA PVC DE 2"</t>
  </si>
  <si>
    <t>6.4.46</t>
  </si>
  <si>
    <t>CAJA DE BREAKER TRIFILAR DE 12 CIRCUITOS</t>
  </si>
  <si>
    <t>6.4.47</t>
  </si>
  <si>
    <t>CAJA DE CONTADOR TRIFILAR NORMA CEO</t>
  </si>
  <si>
    <t>6.4.48</t>
  </si>
  <si>
    <t>CONTADOR TRIFILAR NORMA CEO</t>
  </si>
  <si>
    <t>6.4.49</t>
  </si>
  <si>
    <t>FUSIBLE TIPO H DE 2 AMPERIOS</t>
  </si>
  <si>
    <t>6.4.50</t>
  </si>
  <si>
    <t>Suministro e Instalacion de Lampara Fluorecente de 2 x 48</t>
  </si>
  <si>
    <t>6.4.51</t>
  </si>
  <si>
    <t>PUNTO Electrico Iluminacion Incluye Interuptor doble Para trabajo pesado</t>
  </si>
  <si>
    <t>Subtotal Sistema Eléctrico</t>
  </si>
  <si>
    <t>6.5.1</t>
  </si>
  <si>
    <t>Se usaron 38,72 m2 de mas, que la cantidad presupuestada inicialmente debido a que estas no coinciden con las cantidades del diseño, establecidas en los planos.</t>
  </si>
  <si>
    <t>6.5.2</t>
  </si>
  <si>
    <t>Correas metálicas PHR 220*80*2.5mm</t>
  </si>
  <si>
    <t>La cantidad presupuestada es muy similar a la cantidad instalada, aumentandose solo en 1,92 ml de los volados de la cubierta.</t>
  </si>
  <si>
    <t>6.5.3</t>
  </si>
  <si>
    <t>Se aumento en 46 ml con respecto al presupuesto inicial ya que las cantidades no coincidian con las cantidades del diseño, establecidas en los planos.</t>
  </si>
  <si>
    <t>Subtotal cubierta</t>
  </si>
  <si>
    <t>Otros</t>
  </si>
  <si>
    <t>6.6.1</t>
  </si>
  <si>
    <t>Dosificador de cloracion, incluye clorador</t>
  </si>
  <si>
    <t>No se ha instalado por que es un equipo muy costoso y corre el riesgo de que le pase algo en la obra. Este se instalara cuando se entregue la obra.</t>
  </si>
  <si>
    <t>6.6.2</t>
  </si>
  <si>
    <t>Dosificador de alumbre granulado</t>
  </si>
  <si>
    <t>Subtotal otros</t>
  </si>
  <si>
    <t>TOTAL CASETA OPERACIONES</t>
  </si>
  <si>
    <t>CERRAMIENTO</t>
  </si>
  <si>
    <t>7.1.1</t>
  </si>
  <si>
    <t>Esta actividad no se ha ejecutado por que el presupuesto destinado a este item, se utilizo en los items en los cuales se presentaron mayores cantidades de obra, que las presupuestadas inicialmente como lo son las excavaciones y los aceros, necesarios para la construccion de las estructuras que dan funcionamiento a la PTAP. En el diseño se muestran muros de 1 ml  de alto por 276 ml de longitud, por lo que la cantidad se aumenta en 138 m2 con respecto al presupuesto inicial.</t>
  </si>
  <si>
    <t>7.1.2</t>
  </si>
  <si>
    <t>Esta actividad no se ha ejecutado por que el presupuesto destinado ha este item se utilizo en los items en los cuales se presentaron mayores cantidades de obra, que las presupuestadas como lo son las excavaciones y los aceros, necesarios para la construccion de las estructuras que dan funcionamiento a la PTAP. En el diseño se muestran muros de 1 ml  de alto por 276 ml de longitud por lo que la cantidad se aumenta en 138 m2 con respecto al presupuesto inicial.</t>
  </si>
  <si>
    <t>7.1.3</t>
  </si>
  <si>
    <t>Cajilla en mampostería 0.6x0.6m h=1.20m</t>
  </si>
  <si>
    <t>No se utilizaron porque no estan incluidas en el diseño.</t>
  </si>
  <si>
    <t>7.2.1</t>
  </si>
  <si>
    <t>Esta actividad no se ha ejecutado por que el presupuesto destinado ha este item, se utilizo en los items en los cuales se presentaron mayores cantidades xe obra, que las presupuestadas inicialmente como lo son las excavaciones y los aceros, necesarios para la construccion de las estructuras que dan funcionamiento a la PTAP. En el diseño se muestran muros de 1 ml  de alto por 276 ml de longitud por lo que la cantidad coincide con el presupuesto.</t>
  </si>
  <si>
    <t>7.2.2</t>
  </si>
  <si>
    <t>Concreto ciclópeo de f'c = 170 Kg/cm2 40% rajón</t>
  </si>
  <si>
    <t>Esta actividad no se ha ejecutado por que el presupuesto destinado ha este item, se utilizo en los items en los caules se presentaron mayores cantidades de obra, que las presupuestadas inicialmente como lo son las excavaciones y los aceros, necesarios para la construccion de las estructuras que dan funcionamiento a la PTAP. En el diseño se muestra una cimentacion en ciclopeo de 0.4x0.4x276.0 por lo que la cantidad aumenta en 19,32 m3, de acuerdo a lo establecido en los planos.</t>
  </si>
  <si>
    <t>7.2.3</t>
  </si>
  <si>
    <t>Esta actividad no se ha ejecutado por que el presupuesto destinado ha este item, se utilizo en los items en los cuales se presentaron mayores cantidades de obra, que las presupuestadas inicialmente como lo son las excavaciones y los aceros, necesarios para la construccion de las estructuras que dan funcionamiento a la PTAP. Sacando el despiece del diseño nos dan 384,33 kg de acero de mas, que lo presupuestado inicialmente.</t>
  </si>
  <si>
    <t>Malla cerramiento</t>
  </si>
  <si>
    <t>7.3.1</t>
  </si>
  <si>
    <t>Malla eslabonada para colocar sobre muro L=2m con pintura anticorrosiva según planos</t>
  </si>
  <si>
    <t>Esta actividad no se ha ejecutado por que el presupuesto destinado ha este item, se utilizo en los items en los cuales se presentaron mayores cantidades de obra que las presupuestadas inicialmente como lo son las excavaciones y los aceros, necesarios para la construccion de las estructuras que dan funcionamiento a la PTAP. Se usaran 138 m2 de mas por que la cantidad presupuestada inicialmente no coincide con la cantidad tomada del diseño en los planos.</t>
  </si>
  <si>
    <t>7.3.2</t>
  </si>
  <si>
    <t>Tuberia 2" L=1.5 en acero galvanizado incrustado en columna para colocar malla</t>
  </si>
  <si>
    <t>Und</t>
  </si>
  <si>
    <t>Esta actividad no se ha ejecutado por que el presupuesto destinado ha este item, se utilizo en los items en los cuales se presentaron mayores cantidades de obra que las presupuestadas inicialmente como lo son las excavaciones y los aceros,  necesarios para la construccion de las estructuras que dan funcionamiento a la PTAP. La cantidad presupuestada para este item coincide con la cantidad de los diseños.</t>
  </si>
  <si>
    <t>7.3.3</t>
  </si>
  <si>
    <t>Alambre de puas</t>
  </si>
  <si>
    <t>Esta actividad no se ha ejecutado por que el presupuesto destinado ha este item, se utilizo en los items en los cuales se presentaron mayores cantidades de obra que las presupuestadas inicialmente como lo son las excavaciones y los aceros, necesarios para la construccion de las estructuras que dan funcionamiento a la PTAP. Se usaran 3 hiladas de alambre cada una de 276 ml por lo tando esta cantidad se aumentara en 564 ml con respecto a la cantidad presupuestada inicialmente.</t>
  </si>
  <si>
    <t>7.3.4</t>
  </si>
  <si>
    <t>Porton de acceso planta</t>
  </si>
  <si>
    <t>Esta actividad no se ha ejecutado por que el presupuesto destinado ha este item, se utilizo en los items en los cuales se presentaron mayores cantidades de obra que las presupuestadas inicialmente como lo son las excavaciones y los aceros,  necesarios para la construccion de las estructuras que dan funcionamiento a la PTAP. Se usaran 2 portones, ya que por la topografia del terreno se hace imposible alcanzar la caseta de cloracion para descargar los insumos y el lecho de lodos para el retiro de los lodos deshidratados.</t>
  </si>
  <si>
    <t>Subtotal malla</t>
  </si>
  <si>
    <t>TOTAL CERRAMIENTO</t>
  </si>
  <si>
    <t>DOTACIÓN LABORATORIO  BÁSICO TRATAMIENTO  DE AGUA</t>
  </si>
  <si>
    <t>EQUIPO</t>
  </si>
  <si>
    <t>V. UNITARIO</t>
  </si>
  <si>
    <t>V. TOTAL</t>
  </si>
  <si>
    <t>1</t>
  </si>
  <si>
    <t>Test Kit color marca Hach cat. 2234-00 para comparador de disco rango de 5 a 100; 25 a 500 ó equivalente.</t>
  </si>
  <si>
    <t>Este instrumentos no se suministrara debido a que el presidente de la Asociacion de usuarios del Acueducto de Saladito Timbio Cauca, establece que dicho equipo no es el mas idoneo para ser utilizado, por lo tanto no desea que se suministre este.</t>
  </si>
  <si>
    <t>2</t>
  </si>
  <si>
    <t>Turbidimetro Digital marca HACH, portatil o de mesa modelo 2100P, Rango de 0-1000NTUs, completo con estuche plastico de transporte, 4 estandares primarios de calibracion, 3 gelex secundarios de verificación,  aceite ensiliconado,  balletilla, 9 celdas de medición, 4 pilas  AA,  adaptador  a  corriente  y  manual  de  instrucciones  en español y en ingles</t>
  </si>
  <si>
    <t xml:space="preserve">Estos instrumentos no se han suministrado por que se pueden dañar o se pueden perder. Asi que se entregaran apenas se vaya a hacer la entrega formal de la PTAP. Ademas, esta actividad no se ha ejecutado por que el presupuesto destinado ha este item, se utilizo en los items en los cuales se presentaron mayores cantidades de obra que las presupuestadas inicialmente como lo son las excavaciones y los aceros,  necesarios para la construccion de las estructuras que dan funcionamiento a la PTAP. </t>
  </si>
  <si>
    <t>3</t>
  </si>
  <si>
    <t>Colorímetro digital portátil de 0,50 unidades Hazen marca HANNA, referencia HI93727 ó equivalente</t>
  </si>
  <si>
    <t>4</t>
  </si>
  <si>
    <t>PHmetro  portátil,  PH/MV°c  con  electrodo  de vidrio compensación automática de temperatura marca HANNA  o equivalente</t>
  </si>
  <si>
    <t>5</t>
  </si>
  <si>
    <t>Balanza  electrónica  serie  portable  advanced  capacidad  2100  g sensibilidad 0,1 g marca OHAUS o equivalente</t>
  </si>
  <si>
    <t>Nevera 250 L, para almacenamiento de reactivos</t>
  </si>
  <si>
    <t>Test de Jarras 6 puestos marca centricol</t>
  </si>
  <si>
    <t>8</t>
  </si>
  <si>
    <t>Suministro de Balanza electrónica de plataforma con capacidad de 300 Kg sensibilidad de 10g -D300BX-T31P-OHAUS</t>
  </si>
  <si>
    <t>El Test Kit HI 3887 para lectura de cloro</t>
  </si>
  <si>
    <t>TOTAL SUMINISTRO</t>
  </si>
  <si>
    <t>ITEMS NO PREVISTOS Y ADICIONALES</t>
  </si>
  <si>
    <t>DESCRIPCION</t>
  </si>
  <si>
    <t>VR. UNITARIO</t>
  </si>
  <si>
    <t>NP-1</t>
  </si>
  <si>
    <t xml:space="preserve">Suministro e instalación de Collarines de 6" a 2" </t>
  </si>
  <si>
    <t>Estan ubicados en el sedimentador y se instalaron para darle mas rigidez a los tubos de 2" del desague de la tolva de lodos del sedimentador.</t>
  </si>
  <si>
    <t>NP-2</t>
  </si>
  <si>
    <t>Suministro e instalación de Codos pvc 4" presion</t>
  </si>
  <si>
    <t xml:space="preserve">Estan ubicados en los desagues del filtro, conduccion de agua filtrada al tanque de cloracion y conduccion de agua potable al tanque de almacenamiento. </t>
  </si>
  <si>
    <t>NP-3</t>
  </si>
  <si>
    <t xml:space="preserve">Suministro e instalación de tapones de pvc 6" presion </t>
  </si>
  <si>
    <t>Estan ubicados al inicio de los tubos de 6" del sistema de desague del sedimentador.</t>
  </si>
  <si>
    <t>NP-4</t>
  </si>
  <si>
    <t>Suministro e instalación de Codo Bridado HF 4"</t>
  </si>
  <si>
    <t>Se ubican 4 en los desagues de los filtros y  4 en la conduccion de agua sedimentada a los filtros.</t>
  </si>
  <si>
    <t>NP-5</t>
  </si>
  <si>
    <r>
      <t>suministro e instalacion de curvas de gran radio, pvc presion, 6", 45</t>
    </r>
    <r>
      <rPr>
        <sz val="10"/>
        <rFont val="Calibri"/>
        <family val="2"/>
      </rPr>
      <t>°</t>
    </r>
  </si>
  <si>
    <t>Se usaron dos para conectar las camaras de inspeccion al lecho de secado de lodos, por que se presentaba una bajada pronunciada y no se queria tener grandes obstaculos donde se pudiera estancar el lodo.</t>
  </si>
  <si>
    <t>NP-6</t>
  </si>
  <si>
    <t>Suministro e instalación de uniones rapidas pvc 6"</t>
  </si>
  <si>
    <t>und</t>
  </si>
  <si>
    <t>Se usaron en la instalación de la tuberia de desague de 6" que llega al lecho de secado de lodos por la dificultad y lo incomodo que resultaba acoplar estos tubos a las curvas rapidas.</t>
  </si>
  <si>
    <t>NP-7</t>
  </si>
  <si>
    <t>Suministro e instalación de uniones rapidas pvc 4"</t>
  </si>
  <si>
    <t>Se utilizaron para unir la tuberia de desague del tanque de cloracion a la camara de inspeccion, por la dificultad y lo incomodo que resultaba por el poco espacio que se tenia para direccionar  los tubos.</t>
  </si>
  <si>
    <t>NP-8</t>
  </si>
  <si>
    <t>Suministro e instalación de uniones universales HD 4"</t>
  </si>
  <si>
    <t>Estas uniones se necesitan para acoplar las valvulas de 4" en hd a la tuberia de 4" por lo tanto es indispensable su instalación.</t>
  </si>
  <si>
    <t>NP-9</t>
  </si>
  <si>
    <t>Suministro e instalación de uniones universales HD 6"</t>
  </si>
  <si>
    <t xml:space="preserve">und </t>
  </si>
  <si>
    <t>Estas uniones se necesitan para acoplar las valvulas de 6" en hd a la tuberia de 6" por lo tanto es indispensable su instalación.</t>
  </si>
  <si>
    <t>NP-10</t>
  </si>
  <si>
    <t>Puerta en acrilico con marco en lamina galvanizada</t>
  </si>
  <si>
    <t>Fue necesario instalar dos puertas en en acrilico en los cuartos donde se encuentran sulfatos y otros quimicos para que no se deterioren rapidamente, ademas en el diseño muestra las puertas en acrilico pero no estan presupuestadas.</t>
  </si>
  <si>
    <t>NP-11</t>
  </si>
  <si>
    <t>Suministro e instalaciòn de valvula tipo guillotina</t>
  </si>
  <si>
    <t>La entrada de agua al sedimentador debe ser regulada mediante dos valvulas de tipo guillotina, las cuales se muestran en el diseño pero no se muestran en el presupuesto inicial.</t>
  </si>
  <si>
    <t>NP-12</t>
  </si>
  <si>
    <t>construccion de camaras de inspeccion en cto.</t>
  </si>
  <si>
    <t>La altura de la excavacion para los filtros, sedimentadores y tanque de cloracion aumento debido a que se debio correr las estrcuturas del paramento de la via, mas de lo que se tenia planteado en los diseños, debido a que esta se pavimento y en el proceso constructivo se genero un talud inestable en el lote destinado para la planta de tratamiento; por tal razon la altura de las camaras colectoras tambien aumento por lo que hubo la necesidad de crear este nuevo apu por ml.</t>
  </si>
  <si>
    <t>NP-13</t>
  </si>
  <si>
    <t>construccion brocal en ccto.</t>
  </si>
  <si>
    <t>El brocal no aparece en el presupuesto ni tampoco se tiene cuenta  en el apu de la camara de inspeccion, por lo que se realiza un apu de este item.</t>
  </si>
  <si>
    <t>NP-14</t>
  </si>
  <si>
    <t>Ladrillo calado para ventilaciòn</t>
  </si>
  <si>
    <t>Este item es necesario para ventilar los cuartos donde se presenta la accion de algunos sulfatos como el cloro que deterioran cualquier elemento metalico.</t>
  </si>
  <si>
    <t>NP-15</t>
  </si>
  <si>
    <t>Estucado de muros interiores y exteriores</t>
  </si>
  <si>
    <t>La obra se tiene que entregar pintada con vinilo por lo tanto tambien es necesario que se estuque, item que no se encuentra en el presupuesto.</t>
  </si>
  <si>
    <t>NP-16</t>
  </si>
  <si>
    <t>rejas metalicas de seguridad para ventanas</t>
  </si>
  <si>
    <t>El presupuesto no tiene en cuenta las rejas de seguridad  para evitar robos al interior de la planta, ya que en ese sitio van a quedar equipos muy costosos.</t>
  </si>
  <si>
    <t>NP-17</t>
  </si>
  <si>
    <t>Columnas de 0.3x0.3m en lecho de lodos</t>
  </si>
  <si>
    <t>En el diseño (planos) se muestran columnas de 0,3x0,3m pero en el presupuesto estan solo de  0,2x0,2m por lo que se tuvo que hacer un nuevo apu, ademas se aumentan 6 ml de columna para construir una tarima para el tanque de almacenamiento de agua potable de 2000 litros.</t>
  </si>
  <si>
    <t>NP-18</t>
  </si>
  <si>
    <t>Estucado de carteras interiores y exteriores por ml</t>
  </si>
  <si>
    <t>Las carteras se pagan por metro lineal debido a la incongruencia del M2 en este tipo de item.</t>
  </si>
  <si>
    <t>NP-19</t>
  </si>
  <si>
    <t>Pintura en vinilo para carteras interiores y exteriores por ml</t>
  </si>
  <si>
    <t>NP-20</t>
  </si>
  <si>
    <t>repellos carteras por ml</t>
  </si>
  <si>
    <t>NP-21</t>
  </si>
  <si>
    <t>alfagia para cerramiento</t>
  </si>
  <si>
    <t>Se  usara para sostener la malla del cerramiento  en  la parte de abajo  para evitar que esta se comience a pandear y romper, ya que en el presupuesto no esta contemplado este item.</t>
  </si>
  <si>
    <t>NP-22</t>
  </si>
  <si>
    <t>Suministro e instalación Bomba tipo turbina 2" a presión m x 100 mtrs trifásica para lavado de los tanques</t>
  </si>
  <si>
    <t>Se utilizará para el lavado a presión de las unidades de la planta así como también los muros internos de floculadores, sedimentadores, filtros, tanque de almacenamiento y además,  mover la antracita de los filtros hasta 10 cm en la ejecución del lavado de los mismos. Ya que el tanque elevado que se va construir para proporcionar agua potable a la caseta de operaciones no tiene la suficiente presion para el lavado de los tanques.</t>
  </si>
  <si>
    <t>NP-23</t>
  </si>
  <si>
    <t>Suministro cilindros de cloro de 68 Kg</t>
  </si>
  <si>
    <t>Se debe tener mínimo 6 cilindros para garantizar que el intervalo entre la compra del contenido y el desplazamiento que es hasta la ciudad de Yumbo en el valle, se realice en un lapso de tiempo no inferior a 3 meses dado el costo tan elevado en el transporte de los cilindros.</t>
  </si>
  <si>
    <t>NP-24</t>
  </si>
  <si>
    <t>Suministro e instalación Medidor de cloro digital</t>
  </si>
  <si>
    <t>Dicho equipo nos permite determinar con mayor exactitud la cantidad de cloro aplicado y la cantidad de cloro residual en los puntos de muestreo ubicados en la red del acueducto, así como también determinar la demanda de cloro.</t>
  </si>
  <si>
    <t>NP-25</t>
  </si>
  <si>
    <t>Suministro e instalación de Eyector de cloro digital</t>
  </si>
  <si>
    <t>Necesario para el control del cloro que se adicionará al agua a tratar. La funcion que va a realizar dicho equipo es la de tomar el cloro a dosificar, crear un vacio, y conducirlo  un tubo venturi para su apliacion final.</t>
  </si>
  <si>
    <t>NP-26</t>
  </si>
  <si>
    <t>barandas de contencion en tubo galvanizado 2"</t>
  </si>
  <si>
    <t>Estas barandas son indispensables para la seguridad de los operarios y visitates a la planta; ya que se tienen profundidades mayores a los 4 mts.</t>
  </si>
  <si>
    <t>NP-27</t>
  </si>
  <si>
    <t>suministro e instalacion de pozo septico</t>
  </si>
  <si>
    <t>Este es indispensable para  la estadia del operario en la planta, y no se tuvo en cuenta en el diseño de la caseta de operaciones.</t>
  </si>
  <si>
    <t>NP-28</t>
  </si>
  <si>
    <t>Suministro e instalación de tanque plastico de 2000 lts.</t>
  </si>
  <si>
    <t>und.</t>
  </si>
  <si>
    <t>En el diseño inicial no se tiene en cuenta el suministro de agua potable a la caseta de operaciones, para uso personal del tecnico, lavado de instrumentos y preparacion de muestras para ensayos, por lo que se realizó un nuevo apu para este item.</t>
  </si>
  <si>
    <t>NP-29</t>
  </si>
  <si>
    <t>Anclajes en cto. 3000 psi. para tuberia de 6". Incluye codo y uniones en HF.</t>
  </si>
  <si>
    <t>En el punto de acople de la tuberia de 6" a la tuberia de 6" existente y en el cambio de sentido de la tuberia de 6" para ingresar a la planta de tratamiento, es indispensable la colocacion de estos puntos de anclaje para evitar que el golpe de ariete les ocacione algun daño.</t>
  </si>
  <si>
    <t>NP-30</t>
  </si>
  <si>
    <t>Suministro e instalación de bomba de 1" para llenado tanque de entrada 1 1/4"  salida 1" para suministro de agua potable a la caseta de operaciones</t>
  </si>
  <si>
    <t>Esta bomba es necesaria, ya que la caseta de operaciones queda por encima del nivel del tanque de almacenamiento, razon por la cual es la única manera de suministrar agua potable para el funcionamiento de los laboratorios y para cubrir las necesidades básicas del personal a cargo de su funcionamiento.</t>
  </si>
  <si>
    <t>TOTAL ITEMS NO PREVISTOS</t>
  </si>
  <si>
    <t>REPRESENTANTE LEGAL CONTRATISTA</t>
  </si>
  <si>
    <t xml:space="preserve">           Ingeniero de apoyo EMCASERVICIOS</t>
  </si>
  <si>
    <t xml:space="preserve">        SUBGERENTE TECNICO</t>
  </si>
  <si>
    <t xml:space="preserve">         EMCASERVICIOS SA ESP</t>
  </si>
  <si>
    <t>EMPRESA CAUCANA DE SERVICIOS PÚBLICOS S.A. E.S.P.
NIT. 900.316.215-9</t>
  </si>
  <si>
    <t>FECHA DE EMISION:           18/11/2016</t>
  </si>
  <si>
    <t>VERSIION:                                        1,0</t>
  </si>
  <si>
    <t>OBJETO DEL CONTRATO</t>
  </si>
  <si>
    <t>BALANCE DE REFORMULACION</t>
  </si>
  <si>
    <t xml:space="preserve">         Vo.Bo. Ing. </t>
  </si>
  <si>
    <t xml:space="preserve">Ing. </t>
  </si>
  <si>
    <t xml:space="preserve">       </t>
  </si>
  <si>
    <t>CODIGO:                                     F.INF.09</t>
  </si>
  <si>
    <t>01: DATOS ESPECIFICOS DEL CONTRATO</t>
  </si>
  <si>
    <t>CONTRATO DE OBRA No.</t>
  </si>
  <si>
    <t>EMPRESA CAUCANA DE SERVICIOS PUBLICOS - EMCASERVICIOS SA ESP</t>
  </si>
  <si>
    <t>VALOR TOTAL CONTRATADO.</t>
  </si>
  <si>
    <t>VALOR FINAL EJECUTADO</t>
  </si>
  <si>
    <t>OCHO (08) MESES</t>
  </si>
  <si>
    <t>PLAZO FINAL.</t>
  </si>
  <si>
    <t>TRECE (13) MESES</t>
  </si>
  <si>
    <t>02: PARTES QUE INTERVIENEN:</t>
  </si>
  <si>
    <r>
      <t xml:space="preserve">En la Ciudad de Popayán  Cauca, se reunieron la Ingeniera </t>
    </r>
    <r>
      <rPr>
        <b/>
        <sz val="12"/>
        <rFont val="Arial"/>
        <family val="2"/>
      </rPr>
      <t>BLANCA LUCY AGREDO MUÑOZ</t>
    </r>
    <r>
      <rPr>
        <sz val="12"/>
        <rFont val="Arial"/>
        <family val="2"/>
      </rPr>
      <t>, Gerente de La Empresa Caucana de Servicios Públicos</t>
    </r>
    <r>
      <rPr>
        <b/>
        <sz val="12"/>
        <rFont val="Arial"/>
        <family val="2"/>
      </rPr>
      <t xml:space="preserve"> "EMCASERVICIOS S.A. E.S.P."</t>
    </r>
    <r>
      <rPr>
        <sz val="12"/>
        <rFont val="Arial"/>
        <family val="2"/>
      </rPr>
      <t xml:space="preserve"> como entidad </t>
    </r>
    <r>
      <rPr>
        <b/>
        <sz val="12"/>
        <rFont val="Arial"/>
        <family val="2"/>
      </rPr>
      <t>CONTRATANTE y</t>
    </r>
    <r>
      <rPr>
        <sz val="12"/>
        <rFont val="Arial"/>
        <family val="2"/>
      </rPr>
      <t xml:space="preserve"> el Ingeniero </t>
    </r>
    <r>
      <rPr>
        <b/>
        <sz val="12"/>
        <rFont val="Arial"/>
        <family val="2"/>
      </rPr>
      <t xml:space="preserve">ANDRÉS ENRIQUE SIERRA NAVAS, </t>
    </r>
    <r>
      <rPr>
        <sz val="12"/>
        <rFont val="Arial"/>
        <family val="2"/>
      </rPr>
      <t>representante legal del</t>
    </r>
    <r>
      <rPr>
        <b/>
        <sz val="12"/>
        <rFont val="Arial"/>
        <family val="2"/>
      </rPr>
      <t xml:space="preserve"> CONSORCIO JGAS </t>
    </r>
    <r>
      <rPr>
        <sz val="12"/>
        <rFont val="Arial"/>
        <family val="2"/>
      </rPr>
      <t>en calidad de</t>
    </r>
    <r>
      <rPr>
        <b/>
        <sz val="12"/>
        <rFont val="Arial"/>
        <family val="2"/>
      </rPr>
      <t xml:space="preserve"> CONTRATISTA,</t>
    </r>
    <r>
      <rPr>
        <sz val="12"/>
        <rFont val="Arial"/>
        <family val="2"/>
      </rPr>
      <t xml:space="preserve"> </t>
    </r>
    <r>
      <rPr>
        <b/>
        <sz val="12"/>
        <rFont val="Arial"/>
        <family val="2"/>
      </rPr>
      <t xml:space="preserve"> </t>
    </r>
    <r>
      <rPr>
        <sz val="12"/>
        <rFont val="Arial"/>
        <family val="2"/>
      </rPr>
      <t xml:space="preserve">con el fin de liquidar de comun acuerdo el contrato de obra </t>
    </r>
    <r>
      <rPr>
        <b/>
        <sz val="12"/>
        <rFont val="Arial"/>
        <family val="2"/>
      </rPr>
      <t>No. 25 de 2013</t>
    </r>
    <r>
      <rPr>
        <sz val="12"/>
        <rFont val="Arial"/>
        <family val="2"/>
      </rPr>
      <t xml:space="preserve">, suscrito el 27 de febrero de 2013, una vez constatado que las condiciones contractuales establecidas para el presente acto se han cumplido a cabalidad por parte del contratista y los trabajos ejecutados y terminados fueron entregados por el </t>
    </r>
    <r>
      <rPr>
        <b/>
        <sz val="12"/>
        <rFont val="Arial"/>
        <family val="2"/>
      </rPr>
      <t>CONTRATISTA</t>
    </r>
    <r>
      <rPr>
        <sz val="12"/>
        <rFont val="Arial"/>
        <family val="2"/>
      </rPr>
      <t xml:space="preserve"> y recibidos a entera satisfaccion por</t>
    </r>
    <r>
      <rPr>
        <b/>
        <sz val="12"/>
        <rFont val="Arial"/>
        <family val="2"/>
      </rPr>
      <t xml:space="preserve"> LA INTERVENTORIA</t>
    </r>
    <r>
      <rPr>
        <sz val="12"/>
        <rFont val="Arial"/>
        <family val="2"/>
      </rPr>
      <t xml:space="preserve"> el día viernes 13 de Noviembre de 2015. Dichos trabajos se encuentran descritos en el informe final de interventoria el cual hace parte integral de la presente acta.</t>
    </r>
  </si>
  <si>
    <t>O3. CRONOLOGIA DEL CONTRATO</t>
  </si>
  <si>
    <t>FECHA DE FIRMA DEL CONTRATO:</t>
  </si>
  <si>
    <t>Febrero 27 de 2013</t>
  </si>
  <si>
    <t>ACTA DE INICIACION</t>
  </si>
  <si>
    <t>Junio 06 de 2013</t>
  </si>
  <si>
    <t>ACTA DE SUSPENSION No. 01</t>
  </si>
  <si>
    <t>Diciembre 16 de 2013</t>
  </si>
  <si>
    <t>ACTA DE REINICIO No. 01</t>
  </si>
  <si>
    <t>Enero 16 de 2014</t>
  </si>
  <si>
    <t>ACTA DE SUSPENSIÓN No 02</t>
  </si>
  <si>
    <t>Febrero 03 de 2014</t>
  </si>
  <si>
    <t>ACTA DE REINICIO No. 02</t>
  </si>
  <si>
    <t>Abril 02 de 2014</t>
  </si>
  <si>
    <t>ACTA DE SUSPENSIÓN No 03</t>
  </si>
  <si>
    <t>Abril 18 de 2014</t>
  </si>
  <si>
    <t>ACTA DE REINICIO No. 03</t>
  </si>
  <si>
    <t>Diciembre 03 de 2014</t>
  </si>
  <si>
    <t>OTRO SI No.01 (ADICIONANDO $676´939.841 y 60 DÍAS)</t>
  </si>
  <si>
    <t>ACTA DE SUSPENSIÓN No 04</t>
  </si>
  <si>
    <t>Febrero 06 de 2015</t>
  </si>
  <si>
    <t>ACTA DE REINICIO No. 04</t>
  </si>
  <si>
    <t>Abril 29 de 2015</t>
  </si>
  <si>
    <t>ACTA DE SUSPENSIÓN No 05</t>
  </si>
  <si>
    <t>Mayo 05 de 2015</t>
  </si>
  <si>
    <t>ACTA DE REINICIO No. 05</t>
  </si>
  <si>
    <t>Agosto 13 de 2015</t>
  </si>
  <si>
    <t>OTRO SI No.02 (ADICIONANDO $22´968.036 y 90 DÍAS)</t>
  </si>
  <si>
    <t>ACTA DE TERMINACION:</t>
  </si>
  <si>
    <t>Noviembre 13 de 2015</t>
  </si>
  <si>
    <t>ACTA DE PAGO No. 06 Y FINAL   ( $ 354´696.687 )</t>
  </si>
  <si>
    <t>A fecha de liquidación del contrato</t>
  </si>
  <si>
    <t>04. VALOR DEL CONTRATO</t>
  </si>
  <si>
    <t>VALOR INICIAL DEL CONTRATO</t>
  </si>
  <si>
    <t>VALOR ADICIONAL</t>
  </si>
  <si>
    <t>VALOR FINAL CONTRATADO</t>
  </si>
  <si>
    <t>VALOR NO EJECUTADO A FAVOR DE EMCASERVICIOS</t>
  </si>
  <si>
    <t>05. BALANCE DEL CONTRATO</t>
  </si>
  <si>
    <t>VALOR ACTA No 1</t>
  </si>
  <si>
    <t>VALOR ACTA No 2</t>
  </si>
  <si>
    <t>VALOR ACTA No 3</t>
  </si>
  <si>
    <t>VALOR ACTA No 4</t>
  </si>
  <si>
    <t>VALOR ACTA No 5</t>
  </si>
  <si>
    <t>VALOR ACTA No 6 Y FINAL A PAGAR CON ESTA ACTA</t>
  </si>
  <si>
    <t xml:space="preserve">SUMAS IGUALES   </t>
  </si>
  <si>
    <t>06. BALANCE DEL ANTICIPO</t>
  </si>
  <si>
    <t>VALOR ANTICIPO RECIBIDO</t>
  </si>
  <si>
    <t>AMORTIZACION ANTICIPO ACTA No 1</t>
  </si>
  <si>
    <t xml:space="preserve">AMORTIZACION ANTICIPO ACTA No 2 </t>
  </si>
  <si>
    <t>AMORTIZACION ANTICIPO ACTA No 3</t>
  </si>
  <si>
    <t>AMORTIZACION ANTICIPO ACTA No 4</t>
  </si>
  <si>
    <t>AMORTIZACION ANTICIPO ACTA No 5</t>
  </si>
  <si>
    <t>AMORTIZACION ANTICIPO ACTA No 6 Y FINAL</t>
  </si>
  <si>
    <t>07. BALANCE DE PAGOS DEL CONTRATO</t>
  </si>
  <si>
    <t xml:space="preserve">PAGO DE ANTICIPO </t>
  </si>
  <si>
    <t>PAGO EN ACTA No 1</t>
  </si>
  <si>
    <t>PAGO EN ACTA No 2</t>
  </si>
  <si>
    <t>PAGO EN ACTA No 3</t>
  </si>
  <si>
    <t>PAGO EN ACTA No 4</t>
  </si>
  <si>
    <t>PAGO EN ACTA No 5</t>
  </si>
  <si>
    <t>PAGO EN ACTA No  6 Y FINAL a pagar con esta acta</t>
  </si>
  <si>
    <r>
      <rPr>
        <b/>
        <sz val="12"/>
        <rFont val="Arial"/>
        <family val="2"/>
      </rPr>
      <t>1.</t>
    </r>
    <r>
      <rPr>
        <sz val="12"/>
        <rFont val="Arial"/>
        <family val="2"/>
      </rPr>
      <t xml:space="preserve">   El interventor certifica que el objeto y las obligaciones derivadas del contrato No. 25 de 2013, fueron ejecutadas y recibidas a entera satisfacción, según consta en acta de recibo final suscrita el 13 de Noviembre de 2015, la cual hace parte del presente acto.                                                                                         </t>
    </r>
  </si>
  <si>
    <r>
      <rPr>
        <b/>
        <sz val="12"/>
        <rFont val="Arial"/>
        <family val="2"/>
      </rPr>
      <t>2</t>
    </r>
    <r>
      <rPr>
        <sz val="12"/>
        <rFont val="Arial"/>
        <family val="2"/>
      </rPr>
      <t>.   El interventor deja constancia que verificó el cumplimiento de las obligaciones del contratista con los sistemas de seguridad social (Salud, pensión, riesgos profesionales )  y parafiscales (ICBF, SENA, CAJA DE COMPENSACION)), durante la vigencia del contrato, estableciendo una correcta relacion entre el monto cancelado  y las sumas que debieron haber sido cotizadas.</t>
    </r>
  </si>
  <si>
    <t xml:space="preserve">3.   El valor de $ 38.893,00  treinta y ocho mil ochocientos noventa y tres pesos con 00 centavos m/cte, correspondiente a la obra NO EJECUTADA, se considera como saldo a favor de EMCASERVICIOS S.A E.S.P. </t>
  </si>
  <si>
    <r>
      <rPr>
        <b/>
        <sz val="12"/>
        <rFont val="Arial"/>
        <family val="2"/>
      </rPr>
      <t>4.</t>
    </r>
    <r>
      <rPr>
        <sz val="12"/>
        <rFont val="Arial"/>
        <family val="2"/>
      </rPr>
      <t xml:space="preserve">   El contratista manifiesta que Emcaservicios S.A. E.S.P., cumplió con todas las obligaciones a su cargo, por tanto renuncio a toda acción o demanda contra la entidad en relación con el objeto contractual y con relación a la presente acta de liquidación.</t>
    </r>
  </si>
  <si>
    <r>
      <rPr>
        <b/>
        <sz val="12"/>
        <rFont val="Arial"/>
        <family val="2"/>
      </rPr>
      <t>5.</t>
    </r>
    <r>
      <rPr>
        <sz val="12"/>
        <rFont val="Arial"/>
        <family val="2"/>
      </rPr>
      <t xml:space="preserve">   Las partes se declaran a paz y salvo por todo concepto.</t>
    </r>
  </si>
  <si>
    <t>Para constancia se firma en la ciudad de Popayan por quienes en ella intervienen el dia:</t>
  </si>
  <si>
    <t>RL CONSORCIO JGAS</t>
  </si>
  <si>
    <t xml:space="preserve">ACTA DE LIQUIDACION </t>
  </si>
  <si>
    <t>F01-P01-IF-32</t>
  </si>
  <si>
    <t>F02-P01-IF-32</t>
  </si>
  <si>
    <t>F03-P01-IF-32</t>
  </si>
  <si>
    <t>F05-P01-IF-32</t>
  </si>
  <si>
    <t>F06-P01-IF-32</t>
  </si>
  <si>
    <t>F07-P01-IF-32</t>
  </si>
  <si>
    <t>F10-P01-IF-32</t>
  </si>
  <si>
    <t>CODIGO:                                   F09-P01-IF-32</t>
  </si>
  <si>
    <t>FECHA DE EMISION:           01/12/2016</t>
  </si>
  <si>
    <t>CODIGO                             F11-P01-IF-32</t>
  </si>
  <si>
    <t>VERSION                                               01</t>
  </si>
  <si>
    <t>FECHA DE EMISION            01/012/2016</t>
  </si>
  <si>
    <t>08. ACTA FINAL</t>
  </si>
  <si>
    <t xml:space="preserve">ACCTA DE ENTREGA Y RECIBO A SATISFACCION </t>
  </si>
  <si>
    <t>09. CONSIDERACIONES:</t>
  </si>
  <si>
    <t>Vo.Bo. SUPERVISOR</t>
  </si>
  <si>
    <t>CONTRATO INTERADMINISTRATIVO</t>
  </si>
  <si>
    <t>CONVENIO INTERADMINISTRATIVO</t>
  </si>
  <si>
    <t xml:space="preserve">CANTIDAD </t>
  </si>
  <si>
    <t>CUADRO DE CANTIDADES RECIBIDAS A ENTERA SATISFACCIÓN:</t>
  </si>
  <si>
    <t>TOTAL COSTOS DIRECTOS OBRA CIVIL</t>
  </si>
  <si>
    <t>Elaboro:</t>
  </si>
  <si>
    <t>Reviso:</t>
  </si>
  <si>
    <t>Aprobo:</t>
  </si>
  <si>
    <t>F08-P01-IF-32</t>
  </si>
</sst>
</file>

<file path=xl/styles.xml><?xml version="1.0" encoding="utf-8"?>
<styleSheet xmlns="http://schemas.openxmlformats.org/spreadsheetml/2006/main" xmlns:mc="http://schemas.openxmlformats.org/markup-compatibility/2006" xmlns:x14ac="http://schemas.microsoft.com/office/spreadsheetml/2009/9/ac" mc:Ignorable="x14ac">
  <numFmts count="31">
    <numFmt numFmtId="44" formatCode="_(&quot;$&quot;* #,##0.00_);_(&quot;$&quot;* \(#,##0.00\);_(&quot;$&quot;* &quot;-&quot;??_);_(@_)"/>
    <numFmt numFmtId="43" formatCode="_(* #,##0.00_);_(* \(#,##0.00\);_(* &quot;-&quot;??_);_(@_)"/>
    <numFmt numFmtId="164" formatCode="_(&quot;$&quot;\ * #,##0.00_);_(&quot;$&quot;\ * \(#,##0.00\);_(&quot;$&quot;\ * &quot;-&quot;??_);_(@_)"/>
    <numFmt numFmtId="165" formatCode="[$$-240A]#,##0.00"/>
    <numFmt numFmtId="166" formatCode="[$-240A]d&quot; de &quot;mmmm&quot; de &quot;yyyy;@"/>
    <numFmt numFmtId="167" formatCode="_ * #,##0.00_ ;_ * \-#,##0.00_ ;_ * &quot;-&quot;??_ ;_ @_ "/>
    <numFmt numFmtId="168" formatCode="0.0"/>
    <numFmt numFmtId="169" formatCode="#,##0.0"/>
    <numFmt numFmtId="170" formatCode="#,##0.000"/>
    <numFmt numFmtId="171" formatCode="_-[$$-240A]\ * #,##0.00_ ;_-[$$-240A]\ * \-#,##0.00\ ;_-[$$-240A]\ * &quot;-&quot;??_ ;_-@_ "/>
    <numFmt numFmtId="172" formatCode="&quot;$&quot;\ #,##0.00"/>
    <numFmt numFmtId="173" formatCode="&quot;$&quot;#,##0.00"/>
    <numFmt numFmtId="174" formatCode="#,##0\ &quot;€&quot;;[Red]\-#,##0\ &quot;€&quot;"/>
    <numFmt numFmtId="175" formatCode="_-* #,##0.00\ &quot;€&quot;_-;\-* #,##0.00\ &quot;€&quot;_-;_-* &quot;-&quot;??\ &quot;€&quot;_-;_-@_-"/>
    <numFmt numFmtId="176" formatCode="d/mm/yyyy;@"/>
    <numFmt numFmtId="177" formatCode="_-[$$-240A]\ * #,##0_ ;_-[$$-240A]\ * \-#,##0\ ;_-[$$-240A]\ * &quot;-&quot;??_ ;_-@_ "/>
    <numFmt numFmtId="178" formatCode="_(* #,##0_);_(* \(#,##0\);_(* &quot;-&quot;??_);_(@_)"/>
    <numFmt numFmtId="179" formatCode="_(&quot;$&quot;\ * #,##0_);_(&quot;$&quot;\ * \(#,##0\);_(&quot;$&quot;\ * &quot;-&quot;??_);_(@_)"/>
    <numFmt numFmtId="180" formatCode="&quot;$&quot;\ #,##0"/>
    <numFmt numFmtId="181" formatCode="_([$$-240A]\ * #,##0.0_);_([$$-240A]\ * \(#,##0.0\);_([$$-240A]\ * &quot;-&quot;?_);_(@_)"/>
    <numFmt numFmtId="182" formatCode="_([$$-240A]\ * #,##0.00_);_([$$-240A]\ * \(#,##0.00\);_([$$-240A]\ * &quot;-&quot;??_);_(@_)"/>
    <numFmt numFmtId="183" formatCode="_-* #,##0.00_-;\-* #,##0.00_-;_-* &quot;-&quot;??_-;_-@_-"/>
    <numFmt numFmtId="184" formatCode="_(* #,##0.0_);_(* \(#,##0.0\);_(* &quot;-&quot;??_);_(@_)"/>
    <numFmt numFmtId="185" formatCode="_-[$$-240A]\ * #,##0.00000_ ;_-[$$-240A]\ * \-#,##0.00000\ ;_-[$$-240A]\ * &quot;-&quot;??_ ;_-@_ "/>
    <numFmt numFmtId="186" formatCode="_-[$$-240A]\ * #,##0.0000_ ;_-[$$-240A]\ * \-#,##0.0000\ ;_-[$$-240A]\ * &quot;-&quot;??_ ;_-@_ "/>
    <numFmt numFmtId="187" formatCode="_-* #,##0.00\ _€_-;\-* #,##0.00\ _€_-;_-* &quot;-&quot;??\ _€_-;_-@_-"/>
    <numFmt numFmtId="188" formatCode="_ &quot;$&quot;\ * #,##0.00_ ;_ &quot;$&quot;\ * \-#,##0.00_ ;_ &quot;$&quot;\ * &quot;-&quot;??_ ;_ @_ "/>
    <numFmt numFmtId="189" formatCode="_-* #,##0.00\ [$€]_-;\-* #,##0.00\ [$€]_-;_-* &quot;-&quot;??\ [$€]_-;_-@_-"/>
    <numFmt numFmtId="190" formatCode="[$$-240A]\ #,##0.00"/>
    <numFmt numFmtId="191" formatCode="[$-240A]dddd\,\ dd&quot; de &quot;mmmm&quot; de &quot;yyyy;@"/>
    <numFmt numFmtId="192" formatCode="_(* #,##0.00_);_(* \(#,##0.00\);_(* \-??_);_(@_)"/>
  </numFmts>
  <fonts count="125">
    <font>
      <sz val="11"/>
      <color theme="1"/>
      <name val="Calibri"/>
      <family val="2"/>
      <scheme val="minor"/>
    </font>
    <font>
      <sz val="12"/>
      <name val="Arial Narrow"/>
      <family val="2"/>
    </font>
    <font>
      <b/>
      <sz val="12"/>
      <color rgb="FF0070C0"/>
      <name val="Arial Narrow"/>
      <family val="2"/>
    </font>
    <font>
      <b/>
      <sz val="11"/>
      <color rgb="FF0070C0"/>
      <name val="Arial Narrow"/>
      <family val="2"/>
    </font>
    <font>
      <b/>
      <sz val="14"/>
      <color rgb="FF0070C0"/>
      <name val="Arial Narrow"/>
      <family val="2"/>
    </font>
    <font>
      <b/>
      <i/>
      <sz val="12"/>
      <color rgb="FF0070C0"/>
      <name val="Arial Narrow"/>
      <family val="2"/>
    </font>
    <font>
      <i/>
      <sz val="10"/>
      <color indexed="8"/>
      <name val="Arial Narrow"/>
      <family val="2"/>
    </font>
    <font>
      <i/>
      <sz val="11"/>
      <color theme="1"/>
      <name val="Arial Narrow"/>
      <family val="2"/>
    </font>
    <font>
      <sz val="11"/>
      <name val="Arial Narrow"/>
      <family val="2"/>
    </font>
    <font>
      <b/>
      <sz val="12"/>
      <name val="Arial Narrow"/>
      <family val="2"/>
    </font>
    <font>
      <b/>
      <sz val="12"/>
      <color rgb="FFACFEEC"/>
      <name val="Arial Narrow"/>
      <family val="2"/>
    </font>
    <font>
      <b/>
      <i/>
      <sz val="14"/>
      <color rgb="FF0070C0"/>
      <name val="Arial Narrow"/>
      <family val="2"/>
    </font>
    <font>
      <b/>
      <sz val="14"/>
      <name val="Arial Narrow"/>
      <family val="2"/>
    </font>
    <font>
      <i/>
      <sz val="10"/>
      <name val="Arial Narrow"/>
      <family val="2"/>
    </font>
    <font>
      <i/>
      <sz val="12"/>
      <name val="Arial Narrow"/>
      <family val="2"/>
    </font>
    <font>
      <b/>
      <sz val="16"/>
      <color rgb="FF0070C0"/>
      <name val="Tw Cen MT Condensed Extra Bold"/>
      <family val="2"/>
    </font>
    <font>
      <b/>
      <sz val="26"/>
      <color rgb="FF0070C0"/>
      <name val="Tw Cen MT Condensed Extra Bold"/>
      <family val="2"/>
    </font>
    <font>
      <sz val="11"/>
      <color theme="1"/>
      <name val="Arial"/>
      <family val="2"/>
    </font>
    <font>
      <sz val="8"/>
      <color theme="1"/>
      <name val="Arial"/>
      <family val="2"/>
    </font>
    <font>
      <b/>
      <sz val="14"/>
      <color theme="1"/>
      <name val="Arial"/>
      <family val="2"/>
    </font>
    <font>
      <u/>
      <sz val="8"/>
      <color theme="1"/>
      <name val="Arial"/>
      <family val="2"/>
    </font>
    <font>
      <sz val="10"/>
      <name val="Arial Narrow"/>
      <family val="2"/>
    </font>
    <font>
      <b/>
      <sz val="11"/>
      <color theme="1"/>
      <name val="Arial"/>
      <family val="2"/>
    </font>
    <font>
      <sz val="11"/>
      <color theme="1"/>
      <name val="Calibri"/>
      <family val="2"/>
      <scheme val="minor"/>
    </font>
    <font>
      <sz val="9"/>
      <color theme="1"/>
      <name val="Arial"/>
      <family val="2"/>
    </font>
    <font>
      <b/>
      <sz val="9"/>
      <color theme="1"/>
      <name val="Arial"/>
      <family val="2"/>
    </font>
    <font>
      <sz val="10"/>
      <color theme="1"/>
      <name val="Arial"/>
      <family val="2"/>
    </font>
    <font>
      <b/>
      <sz val="10"/>
      <color theme="1"/>
      <name val="Arial"/>
      <family val="2"/>
    </font>
    <font>
      <sz val="12"/>
      <color theme="1"/>
      <name val="Arial"/>
      <family val="2"/>
    </font>
    <font>
      <b/>
      <sz val="12"/>
      <color theme="1"/>
      <name val="Arial"/>
      <family val="2"/>
    </font>
    <font>
      <b/>
      <sz val="10"/>
      <color theme="1"/>
      <name val="Calibri"/>
      <family val="2"/>
      <scheme val="minor"/>
    </font>
    <font>
      <sz val="10"/>
      <name val="Arial"/>
      <family val="2"/>
    </font>
    <font>
      <b/>
      <sz val="9"/>
      <name val="Arial"/>
      <family val="2"/>
    </font>
    <font>
      <sz val="10"/>
      <name val="Arial"/>
      <family val="2"/>
    </font>
    <font>
      <b/>
      <sz val="11"/>
      <color rgb="FF0070C0"/>
      <name val="Tw Cen MT Condensed Extra Bold"/>
      <family val="2"/>
    </font>
    <font>
      <b/>
      <sz val="12"/>
      <color theme="0"/>
      <name val="Arial"/>
      <family val="2"/>
    </font>
    <font>
      <b/>
      <sz val="9"/>
      <color theme="0" tint="-0.14999847407452621"/>
      <name val="Arial"/>
      <family val="2"/>
    </font>
    <font>
      <b/>
      <sz val="16"/>
      <color theme="1"/>
      <name val="Arial"/>
      <family val="2"/>
    </font>
    <font>
      <b/>
      <sz val="12"/>
      <color rgb="FF0070C0"/>
      <name val="Tw Cen MT Condensed Extra Bold"/>
      <family val="2"/>
    </font>
    <font>
      <b/>
      <sz val="9"/>
      <color rgb="FF0070C0"/>
      <name val="Tw Cen MT Condensed Extra Bold"/>
      <family val="2"/>
    </font>
    <font>
      <b/>
      <i/>
      <sz val="9"/>
      <color theme="1"/>
      <name val="Arial"/>
      <family val="2"/>
    </font>
    <font>
      <sz val="14"/>
      <color theme="1"/>
      <name val="Arial"/>
      <family val="2"/>
    </font>
    <font>
      <sz val="9"/>
      <name val="Arial"/>
      <family val="2"/>
    </font>
    <font>
      <b/>
      <sz val="11"/>
      <color rgb="FF0070C0"/>
      <name val="Arial"/>
      <family val="2"/>
    </font>
    <font>
      <b/>
      <sz val="12"/>
      <color rgb="FF0070C0"/>
      <name val="Arial"/>
      <family val="2"/>
    </font>
    <font>
      <b/>
      <sz val="9"/>
      <color rgb="FF0070C0"/>
      <name val="Arial"/>
      <family val="2"/>
    </font>
    <font>
      <b/>
      <sz val="10"/>
      <name val="Arial"/>
      <family val="2"/>
    </font>
    <font>
      <sz val="11"/>
      <name val="Arial"/>
      <family val="2"/>
    </font>
    <font>
      <sz val="14"/>
      <name val="Arial"/>
      <family val="2"/>
    </font>
    <font>
      <sz val="12"/>
      <name val="Arial"/>
      <family val="2"/>
    </font>
    <font>
      <b/>
      <sz val="14"/>
      <name val="Arial"/>
      <family val="2"/>
    </font>
    <font>
      <b/>
      <i/>
      <sz val="10"/>
      <name val="Arial"/>
      <family val="2"/>
    </font>
    <font>
      <u/>
      <sz val="10"/>
      <name val="Arial"/>
      <family val="2"/>
    </font>
    <font>
      <b/>
      <sz val="12"/>
      <color theme="0"/>
      <name val="Arial Narrow"/>
      <family val="2"/>
    </font>
    <font>
      <sz val="11"/>
      <color theme="0" tint="-0.34998626667073579"/>
      <name val="Arial"/>
      <family val="2"/>
    </font>
    <font>
      <sz val="11"/>
      <color theme="8" tint="-0.249977111117893"/>
      <name val="Arial"/>
      <family val="2"/>
    </font>
    <font>
      <b/>
      <sz val="18"/>
      <color theme="1"/>
      <name val="Arial"/>
      <family val="2"/>
    </font>
    <font>
      <sz val="11"/>
      <color theme="0"/>
      <name val="Arial"/>
      <family val="2"/>
    </font>
    <font>
      <sz val="11"/>
      <color theme="1"/>
      <name val="Calibri"/>
      <family val="2"/>
    </font>
    <font>
      <sz val="8"/>
      <name val="Arial"/>
      <family val="2"/>
    </font>
    <font>
      <b/>
      <sz val="10"/>
      <color theme="5" tint="-0.249977111117893"/>
      <name val="Arial"/>
      <family val="2"/>
    </font>
    <font>
      <sz val="10"/>
      <color indexed="8"/>
      <name val="Arial"/>
      <family val="2"/>
    </font>
    <font>
      <b/>
      <sz val="10"/>
      <color indexed="8"/>
      <name val="Arial"/>
      <family val="2"/>
    </font>
    <font>
      <sz val="10"/>
      <color indexed="10"/>
      <name val="Arial"/>
      <family val="2"/>
    </font>
    <font>
      <b/>
      <sz val="10"/>
      <color indexed="60"/>
      <name val="Arial"/>
      <family val="2"/>
    </font>
    <font>
      <b/>
      <sz val="10"/>
      <color indexed="10"/>
      <name val="Arial"/>
      <family val="2"/>
    </font>
    <font>
      <b/>
      <sz val="10"/>
      <color indexed="53"/>
      <name val="Arial"/>
      <family val="2"/>
    </font>
    <font>
      <b/>
      <sz val="12"/>
      <color rgb="FFFF0000"/>
      <name val="Arial"/>
      <family val="2"/>
    </font>
    <font>
      <sz val="12"/>
      <color rgb="FFFF0000"/>
      <name val="Arial"/>
      <family val="2"/>
    </font>
    <font>
      <sz val="10"/>
      <color rgb="FFFF0000"/>
      <name val="Arial"/>
      <family val="2"/>
    </font>
    <font>
      <b/>
      <sz val="12"/>
      <name val="Arial"/>
      <family val="2"/>
    </font>
    <font>
      <b/>
      <sz val="10"/>
      <color rgb="FFFF0000"/>
      <name val="Arial"/>
      <family val="2"/>
    </font>
    <font>
      <sz val="14"/>
      <name val="Times New Roman"/>
      <family val="1"/>
    </font>
    <font>
      <sz val="10"/>
      <name val="Book Antiqua"/>
      <family val="1"/>
    </font>
    <font>
      <b/>
      <sz val="10"/>
      <color rgb="FFFF0000"/>
      <name val="Swis721 Lt BT"/>
      <family val="2"/>
    </font>
    <font>
      <sz val="6"/>
      <name val="Arial"/>
      <family val="2"/>
    </font>
    <font>
      <sz val="11"/>
      <color indexed="8"/>
      <name val="Calibri"/>
      <family val="2"/>
    </font>
    <font>
      <sz val="10"/>
      <color theme="1"/>
      <name val="Calibri"/>
      <family val="2"/>
      <scheme val="minor"/>
    </font>
    <font>
      <b/>
      <sz val="10"/>
      <color theme="9" tint="-0.499984740745262"/>
      <name val="Calibri"/>
      <family val="2"/>
      <scheme val="minor"/>
    </font>
    <font>
      <sz val="8"/>
      <color theme="1"/>
      <name val="Calibri"/>
      <family val="2"/>
      <scheme val="minor"/>
    </font>
    <font>
      <sz val="10"/>
      <color theme="9" tint="-0.499984740745262"/>
      <name val="Calibri"/>
      <family val="2"/>
      <scheme val="minor"/>
    </font>
    <font>
      <b/>
      <sz val="12"/>
      <color theme="1"/>
      <name val="Calibri"/>
      <family val="2"/>
      <scheme val="minor"/>
    </font>
    <font>
      <sz val="12"/>
      <color theme="1"/>
      <name val="Calibri"/>
      <family val="2"/>
      <scheme val="minor"/>
    </font>
    <font>
      <b/>
      <sz val="12"/>
      <color rgb="FF000000"/>
      <name val="Calibri"/>
      <family val="2"/>
      <scheme val="minor"/>
    </font>
    <font>
      <sz val="12"/>
      <color rgb="FF000000"/>
      <name val="Calibri"/>
      <family val="2"/>
      <scheme val="minor"/>
    </font>
    <font>
      <sz val="8"/>
      <name val="Calibri"/>
      <family val="2"/>
      <scheme val="minor"/>
    </font>
    <font>
      <b/>
      <i/>
      <sz val="12"/>
      <color rgb="FF000000"/>
      <name val="Calibri"/>
      <family val="2"/>
      <scheme val="minor"/>
    </font>
    <font>
      <i/>
      <sz val="12"/>
      <color rgb="FF000000"/>
      <name val="Calibri"/>
      <family val="2"/>
      <scheme val="minor"/>
    </font>
    <font>
      <b/>
      <sz val="8"/>
      <name val="Calibri"/>
      <family val="2"/>
      <scheme val="minor"/>
    </font>
    <font>
      <b/>
      <sz val="12"/>
      <name val="Calibri"/>
      <family val="2"/>
      <scheme val="minor"/>
    </font>
    <font>
      <sz val="12"/>
      <name val="Calibri"/>
      <family val="2"/>
      <scheme val="minor"/>
    </font>
    <font>
      <b/>
      <i/>
      <sz val="10"/>
      <name val="Verdana"/>
      <family val="2"/>
    </font>
    <font>
      <sz val="10"/>
      <name val="Calibri"/>
      <family val="2"/>
    </font>
    <font>
      <b/>
      <sz val="8"/>
      <color theme="1"/>
      <name val="Calibri"/>
      <family val="2"/>
      <scheme val="minor"/>
    </font>
    <font>
      <sz val="10"/>
      <name val="Calibri"/>
      <family val="2"/>
      <scheme val="minor"/>
    </font>
    <font>
      <sz val="14"/>
      <name val="Calibri"/>
      <family val="2"/>
      <scheme val="minor"/>
    </font>
    <font>
      <sz val="14"/>
      <color theme="1"/>
      <name val="Calibri"/>
      <family val="2"/>
      <scheme val="minor"/>
    </font>
    <font>
      <sz val="20"/>
      <name val="Arial"/>
      <family val="2"/>
    </font>
    <font>
      <b/>
      <sz val="9"/>
      <color indexed="81"/>
      <name val="Tahoma"/>
      <family val="2"/>
    </font>
    <font>
      <sz val="9"/>
      <color indexed="81"/>
      <name val="Tahoma"/>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b/>
      <sz val="16"/>
      <color theme="0"/>
      <name val="Calibri"/>
      <family val="2"/>
      <scheme val="minor"/>
    </font>
    <font>
      <b/>
      <sz val="12"/>
      <color rgb="FF0070C0"/>
      <name val="Calibri"/>
      <family val="2"/>
      <scheme val="minor"/>
    </font>
    <font>
      <sz val="12"/>
      <color theme="0" tint="-0.249977111117893"/>
      <name val="Calibri"/>
      <family val="2"/>
      <scheme val="minor"/>
    </font>
    <font>
      <sz val="10"/>
      <name val="Arial"/>
      <family val="2"/>
    </font>
    <font>
      <sz val="11"/>
      <name val="Calibri"/>
      <family val="2"/>
      <scheme val="minor"/>
    </font>
    <font>
      <b/>
      <sz val="11"/>
      <name val="Arial"/>
      <family val="2"/>
    </font>
    <font>
      <b/>
      <sz val="11"/>
      <name val="Calibri"/>
      <family val="2"/>
      <scheme val="minor"/>
    </font>
    <font>
      <b/>
      <sz val="12"/>
      <color theme="0" tint="-0.34998626667073579"/>
      <name val="Arial Narrow"/>
      <family val="2"/>
    </font>
    <font>
      <b/>
      <sz val="9"/>
      <color theme="1"/>
      <name val="Calibri"/>
      <family val="2"/>
      <scheme val="minor"/>
    </font>
  </fonts>
  <fills count="54">
    <fill>
      <patternFill patternType="none"/>
    </fill>
    <fill>
      <patternFill patternType="gray125"/>
    </fill>
    <fill>
      <patternFill patternType="solid">
        <fgColor theme="0"/>
        <bgColor indexed="64"/>
      </patternFill>
    </fill>
    <fill>
      <patternFill patternType="solid">
        <fgColor rgb="FFACFEEC"/>
        <bgColor indexed="64"/>
      </patternFill>
    </fill>
    <fill>
      <patternFill patternType="solid">
        <fgColor rgb="FF03D7AA"/>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rgb="FF79ADDD"/>
        <bgColor indexed="64"/>
      </patternFill>
    </fill>
    <fill>
      <patternFill patternType="solid">
        <fgColor theme="4"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B3FFDE"/>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indexed="9"/>
        <bgColor indexed="64"/>
      </patternFill>
    </fill>
    <fill>
      <patternFill patternType="solid">
        <fgColor rgb="FFFFFFCC"/>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rgb="FFFFC000"/>
        <bgColor indexed="64"/>
      </patternFill>
    </fill>
    <fill>
      <patternFill patternType="solid">
        <fgColor theme="5"/>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rgb="FF0070C0"/>
        <bgColor indexed="64"/>
      </patternFill>
    </fill>
    <fill>
      <patternFill patternType="solid">
        <fgColor theme="4"/>
        <bgColor indexed="64"/>
      </patternFill>
    </fill>
    <fill>
      <patternFill patternType="solid">
        <fgColor theme="0" tint="-0.34998626667073579"/>
        <bgColor indexed="64"/>
      </patternFill>
    </fill>
    <fill>
      <patternFill patternType="solid">
        <fgColor indexed="9"/>
        <bgColor indexed="26"/>
      </patternFill>
    </fill>
  </fills>
  <borders count="153">
    <border>
      <left/>
      <right/>
      <top/>
      <bottom/>
      <diagonal/>
    </border>
    <border>
      <left style="medium">
        <color theme="9" tint="-0.24994659260841701"/>
      </left>
      <right/>
      <top style="medium">
        <color theme="9" tint="-0.24994659260841701"/>
      </top>
      <bottom/>
      <diagonal/>
    </border>
    <border>
      <left/>
      <right/>
      <top style="medium">
        <color theme="9" tint="-0.24994659260841701"/>
      </top>
      <bottom/>
      <diagonal/>
    </border>
    <border>
      <left/>
      <right style="medium">
        <color theme="9" tint="-0.24994659260841701"/>
      </right>
      <top style="medium">
        <color theme="9" tint="-0.24994659260841701"/>
      </top>
      <bottom/>
      <diagonal/>
    </border>
    <border>
      <left style="medium">
        <color theme="9" tint="-0.24994659260841701"/>
      </left>
      <right/>
      <top/>
      <bottom/>
      <diagonal/>
    </border>
    <border>
      <left/>
      <right style="medium">
        <color theme="9" tint="-0.24994659260841701"/>
      </right>
      <top/>
      <bottom/>
      <diagonal/>
    </border>
    <border>
      <left style="medium">
        <color theme="9" tint="-0.24994659260841701"/>
      </left>
      <right/>
      <top/>
      <bottom style="medium">
        <color theme="9" tint="-0.24994659260841701"/>
      </bottom>
      <diagonal/>
    </border>
    <border>
      <left/>
      <right/>
      <top/>
      <bottom style="medium">
        <color theme="9" tint="-0.24994659260841701"/>
      </bottom>
      <diagonal/>
    </border>
    <border>
      <left/>
      <right style="medium">
        <color theme="9" tint="-0.24994659260841701"/>
      </right>
      <top/>
      <bottom style="medium">
        <color theme="9" tint="-0.24994659260841701"/>
      </bottom>
      <diagonal/>
    </border>
    <border>
      <left style="thin">
        <color rgb="FF029878"/>
      </left>
      <right style="thin">
        <color rgb="FF029878"/>
      </right>
      <top style="thin">
        <color rgb="FF029878"/>
      </top>
      <bottom style="thin">
        <color rgb="FF029878"/>
      </bottom>
      <diagonal/>
    </border>
    <border>
      <left style="thin">
        <color rgb="FF029878"/>
      </left>
      <right/>
      <top style="thin">
        <color rgb="FF029878"/>
      </top>
      <bottom style="thin">
        <color rgb="FF029878"/>
      </bottom>
      <diagonal/>
    </border>
    <border>
      <left/>
      <right/>
      <top style="thin">
        <color rgb="FF029878"/>
      </top>
      <bottom style="thin">
        <color rgb="FF029878"/>
      </bottom>
      <diagonal/>
    </border>
    <border>
      <left/>
      <right style="thin">
        <color rgb="FF029878"/>
      </right>
      <top style="thin">
        <color rgb="FF029878"/>
      </top>
      <bottom style="thin">
        <color rgb="FF029878"/>
      </bottom>
      <diagonal/>
    </border>
    <border>
      <left style="medium">
        <color rgb="FF029878"/>
      </left>
      <right/>
      <top style="medium">
        <color rgb="FF029878"/>
      </top>
      <bottom/>
      <diagonal/>
    </border>
    <border>
      <left/>
      <right/>
      <top style="medium">
        <color rgb="FF029878"/>
      </top>
      <bottom/>
      <diagonal/>
    </border>
    <border>
      <left/>
      <right style="medium">
        <color rgb="FF029878"/>
      </right>
      <top style="medium">
        <color rgb="FF029878"/>
      </top>
      <bottom/>
      <diagonal/>
    </border>
    <border>
      <left style="medium">
        <color rgb="FF029878"/>
      </left>
      <right/>
      <top/>
      <bottom/>
      <diagonal/>
    </border>
    <border>
      <left/>
      <right style="medium">
        <color rgb="FF029878"/>
      </right>
      <top/>
      <bottom/>
      <diagonal/>
    </border>
    <border>
      <left style="medium">
        <color rgb="FF029878"/>
      </left>
      <right/>
      <top/>
      <bottom style="medium">
        <color rgb="FF029878"/>
      </bottom>
      <diagonal/>
    </border>
    <border>
      <left/>
      <right/>
      <top/>
      <bottom style="medium">
        <color rgb="FF029878"/>
      </bottom>
      <diagonal/>
    </border>
    <border>
      <left/>
      <right style="medium">
        <color rgb="FF029878"/>
      </right>
      <top/>
      <bottom style="medium">
        <color rgb="FF029878"/>
      </bottom>
      <diagonal/>
    </border>
    <border>
      <left style="medium">
        <color rgb="FF029878"/>
      </left>
      <right/>
      <top style="medium">
        <color rgb="FF029878"/>
      </top>
      <bottom style="medium">
        <color rgb="FF029878"/>
      </bottom>
      <diagonal/>
    </border>
    <border>
      <left/>
      <right/>
      <top style="medium">
        <color rgb="FF029878"/>
      </top>
      <bottom style="medium">
        <color rgb="FF029878"/>
      </bottom>
      <diagonal/>
    </border>
    <border>
      <left/>
      <right style="medium">
        <color rgb="FF029878"/>
      </right>
      <top style="medium">
        <color rgb="FF029878"/>
      </top>
      <bottom style="medium">
        <color rgb="FF02987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right style="hair">
        <color indexed="64"/>
      </right>
      <top/>
      <bottom/>
      <diagonal/>
    </border>
    <border>
      <left/>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diagonal/>
    </border>
    <border>
      <left/>
      <right style="hair">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indexed="64"/>
      </left>
      <right style="thin">
        <color indexed="64"/>
      </right>
      <top/>
      <bottom style="thin">
        <color indexed="64"/>
      </bottom>
      <diagonal/>
    </border>
    <border>
      <left style="medium">
        <color indexed="64"/>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style="hair">
        <color indexed="64"/>
      </left>
      <right/>
      <top style="medium">
        <color indexed="64"/>
      </top>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hair">
        <color indexed="64"/>
      </right>
      <top/>
      <bottom style="medium">
        <color indexed="64"/>
      </bottom>
      <diagonal/>
    </border>
    <border>
      <left style="hair">
        <color indexed="64"/>
      </left>
      <right/>
      <top/>
      <bottom style="medium">
        <color indexed="64"/>
      </bottom>
      <diagonal/>
    </border>
    <border>
      <left style="hair">
        <color indexed="64"/>
      </left>
      <right style="medium">
        <color indexed="64"/>
      </right>
      <top/>
      <bottom style="hair">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rgb="FF029878"/>
      </left>
      <right/>
      <top style="thin">
        <color rgb="FF029878"/>
      </top>
      <bottom/>
      <diagonal/>
    </border>
    <border>
      <left/>
      <right/>
      <top style="thin">
        <color rgb="FF029878"/>
      </top>
      <bottom/>
      <diagonal/>
    </border>
    <border>
      <left/>
      <right style="thin">
        <color rgb="FF029878"/>
      </right>
      <top style="thin">
        <color rgb="FF029878"/>
      </top>
      <bottom/>
      <diagonal/>
    </border>
    <border>
      <left style="thin">
        <color rgb="FF029878"/>
      </left>
      <right style="thin">
        <color rgb="FF029878"/>
      </right>
      <top/>
      <bottom style="thin">
        <color rgb="FF029878"/>
      </bottom>
      <diagonal/>
    </border>
    <border>
      <left style="thin">
        <color rgb="FF029878"/>
      </left>
      <right/>
      <top/>
      <bottom style="thin">
        <color rgb="FF029878"/>
      </bottom>
      <diagonal/>
    </border>
    <border>
      <left/>
      <right/>
      <top/>
      <bottom style="thin">
        <color rgb="FF029878"/>
      </bottom>
      <diagonal/>
    </border>
    <border>
      <left/>
      <right style="thin">
        <color rgb="FF029878"/>
      </right>
      <top/>
      <bottom style="thin">
        <color rgb="FF029878"/>
      </bottom>
      <diagonal/>
    </border>
    <border>
      <left style="thin">
        <color rgb="FF029878"/>
      </left>
      <right style="thin">
        <color rgb="FF029878"/>
      </right>
      <top/>
      <bottom/>
      <diagonal/>
    </border>
    <border>
      <left style="thin">
        <color rgb="FF029878"/>
      </left>
      <right/>
      <top/>
      <bottom/>
      <diagonal/>
    </border>
    <border>
      <left/>
      <right style="thin">
        <color rgb="FF029878"/>
      </right>
      <top/>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style="hair">
        <color indexed="64"/>
      </left>
      <right style="thin">
        <color indexed="64"/>
      </right>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s>
  <cellStyleXfs count="83">
    <xf numFmtId="0" fontId="0" fillId="0" borderId="0"/>
    <xf numFmtId="9" fontId="23" fillId="0" borderId="0" applyFont="0" applyFill="0" applyBorder="0" applyAlignment="0" applyProtection="0"/>
    <xf numFmtId="0" fontId="31" fillId="0" borderId="0"/>
    <xf numFmtId="167" fontId="31" fillId="0" borderId="0" applyFont="0" applyFill="0" applyBorder="0" applyAlignment="0" applyProtection="0"/>
    <xf numFmtId="0" fontId="31" fillId="0" borderId="0"/>
    <xf numFmtId="0" fontId="33" fillId="0" borderId="0"/>
    <xf numFmtId="44" fontId="31" fillId="0" borderId="0" applyFont="0" applyFill="0" applyBorder="0" applyAlignment="0" applyProtection="0"/>
    <xf numFmtId="0" fontId="72" fillId="0" borderId="0"/>
    <xf numFmtId="0" fontId="73" fillId="0" borderId="0"/>
    <xf numFmtId="172" fontId="31" fillId="0" borderId="0" applyFont="0" applyFill="0" applyBorder="0" applyAlignment="0" applyProtection="0"/>
    <xf numFmtId="173" fontId="31" fillId="0" borderId="0" applyFont="0" applyFill="0" applyBorder="0" applyAlignment="0" applyProtection="0"/>
    <xf numFmtId="174" fontId="76" fillId="0" borderId="0" applyFont="0" applyFill="0" applyBorder="0" applyAlignment="0" applyProtection="0"/>
    <xf numFmtId="175" fontId="23" fillId="0" borderId="0" applyFont="0" applyFill="0" applyBorder="0" applyAlignment="0" applyProtection="0"/>
    <xf numFmtId="0" fontId="23" fillId="0" borderId="0"/>
    <xf numFmtId="0" fontId="31" fillId="0" borderId="0"/>
    <xf numFmtId="0" fontId="76" fillId="0" borderId="0"/>
    <xf numFmtId="43" fontId="23" fillId="0" borderId="0" applyFont="0" applyFill="0" applyBorder="0" applyAlignment="0" applyProtection="0"/>
    <xf numFmtId="164" fontId="23" fillId="0" borderId="0" applyFont="0" applyFill="0" applyBorder="0" applyAlignment="0" applyProtection="0"/>
    <xf numFmtId="43" fontId="23" fillId="0" borderId="0" applyFont="0" applyFill="0" applyBorder="0" applyAlignment="0" applyProtection="0"/>
    <xf numFmtId="0" fontId="31" fillId="0" borderId="0"/>
    <xf numFmtId="188" fontId="31" fillId="0" borderId="0" applyFont="0" applyFill="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6" fillId="32" borderId="0" applyNumberFormat="0" applyBorder="0" applyAlignment="0" applyProtection="0"/>
    <xf numFmtId="0" fontId="76" fillId="35" borderId="0" applyNumberFormat="0" applyBorder="0" applyAlignment="0" applyProtection="0"/>
    <xf numFmtId="0" fontId="76" fillId="38" borderId="0" applyNumberFormat="0" applyBorder="0" applyAlignment="0" applyProtection="0"/>
    <xf numFmtId="0" fontId="100" fillId="39" borderId="0" applyNumberFormat="0" applyBorder="0" applyAlignment="0" applyProtection="0"/>
    <xf numFmtId="0" fontId="100" fillId="36" borderId="0" applyNumberFormat="0" applyBorder="0" applyAlignment="0" applyProtection="0"/>
    <xf numFmtId="0" fontId="100" fillId="37" borderId="0" applyNumberFormat="0" applyBorder="0" applyAlignment="0" applyProtection="0"/>
    <xf numFmtId="0" fontId="100" fillId="40" borderId="0" applyNumberFormat="0" applyBorder="0" applyAlignment="0" applyProtection="0"/>
    <xf numFmtId="0" fontId="100" fillId="41" borderId="0" applyNumberFormat="0" applyBorder="0" applyAlignment="0" applyProtection="0"/>
    <xf numFmtId="0" fontId="100" fillId="42" borderId="0" applyNumberFormat="0" applyBorder="0" applyAlignment="0" applyProtection="0"/>
    <xf numFmtId="0" fontId="101" fillId="31" borderId="0" applyNumberFormat="0" applyBorder="0" applyAlignment="0" applyProtection="0"/>
    <xf numFmtId="0" fontId="102" fillId="43" borderId="139" applyNumberFormat="0" applyAlignment="0" applyProtection="0"/>
    <xf numFmtId="0" fontId="103" fillId="44" borderId="140" applyNumberFormat="0" applyAlignment="0" applyProtection="0"/>
    <xf numFmtId="0" fontId="104" fillId="0" borderId="141" applyNumberFormat="0" applyFill="0" applyAlignment="0" applyProtection="0"/>
    <xf numFmtId="0" fontId="105" fillId="0" borderId="0" applyNumberFormat="0" applyFill="0" applyBorder="0" applyAlignment="0" applyProtection="0"/>
    <xf numFmtId="0" fontId="100" fillId="45" borderId="0" applyNumberFormat="0" applyBorder="0" applyAlignment="0" applyProtection="0"/>
    <xf numFmtId="0" fontId="100" fillId="46" borderId="0" applyNumberFormat="0" applyBorder="0" applyAlignment="0" applyProtection="0"/>
    <xf numFmtId="0" fontId="100" fillId="47" borderId="0" applyNumberFormat="0" applyBorder="0" applyAlignment="0" applyProtection="0"/>
    <xf numFmtId="0" fontId="100" fillId="40" borderId="0" applyNumberFormat="0" applyBorder="0" applyAlignment="0" applyProtection="0"/>
    <xf numFmtId="0" fontId="100" fillId="41" borderId="0" applyNumberFormat="0" applyBorder="0" applyAlignment="0" applyProtection="0"/>
    <xf numFmtId="0" fontId="100" fillId="48" borderId="0" applyNumberFormat="0" applyBorder="0" applyAlignment="0" applyProtection="0"/>
    <xf numFmtId="0" fontId="106" fillId="34" borderId="139" applyNumberFormat="0" applyAlignment="0" applyProtection="0"/>
    <xf numFmtId="189" fontId="31" fillId="0" borderId="0" applyFont="0" applyFill="0" applyBorder="0" applyAlignment="0" applyProtection="0"/>
    <xf numFmtId="0" fontId="107" fillId="30" borderId="0" applyNumberFormat="0" applyBorder="0" applyAlignment="0" applyProtection="0"/>
    <xf numFmtId="167"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83" fontId="23" fillId="0" borderId="0" applyFont="0" applyFill="0" applyBorder="0" applyAlignment="0" applyProtection="0"/>
    <xf numFmtId="164" fontId="23" fillId="0" borderId="0" applyFont="0" applyFill="0" applyBorder="0" applyAlignment="0" applyProtection="0"/>
    <xf numFmtId="0" fontId="108" fillId="49" borderId="0" applyNumberFormat="0" applyBorder="0" applyAlignment="0" applyProtection="0"/>
    <xf numFmtId="0" fontId="31" fillId="0" borderId="0"/>
    <xf numFmtId="0" fontId="23" fillId="0" borderId="0"/>
    <xf numFmtId="0" fontId="23" fillId="0" borderId="0"/>
    <xf numFmtId="0" fontId="23" fillId="0" borderId="0"/>
    <xf numFmtId="0" fontId="23" fillId="0" borderId="0"/>
    <xf numFmtId="0" fontId="31" fillId="0" borderId="0"/>
    <xf numFmtId="0" fontId="23" fillId="0" borderId="0"/>
    <xf numFmtId="0" fontId="23" fillId="0" borderId="0"/>
    <xf numFmtId="0" fontId="23" fillId="0" borderId="0"/>
    <xf numFmtId="0" fontId="23" fillId="20" borderId="106" applyNumberFormat="0" applyFont="0" applyAlignment="0" applyProtection="0"/>
    <xf numFmtId="9" fontId="31"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109" fillId="43" borderId="142" applyNumberFormat="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112" fillId="0" borderId="143" applyNumberFormat="0" applyFill="0" applyAlignment="0" applyProtection="0"/>
    <xf numFmtId="0" fontId="113" fillId="0" borderId="144" applyNumberFormat="0" applyFill="0" applyAlignment="0" applyProtection="0"/>
    <xf numFmtId="0" fontId="105" fillId="0" borderId="145" applyNumberFormat="0" applyFill="0" applyAlignment="0" applyProtection="0"/>
    <xf numFmtId="0" fontId="114" fillId="0" borderId="0" applyNumberFormat="0" applyFill="0" applyBorder="0" applyAlignment="0" applyProtection="0"/>
    <xf numFmtId="0" fontId="115" fillId="0" borderId="146" applyNumberFormat="0" applyFill="0" applyAlignment="0" applyProtection="0"/>
    <xf numFmtId="0" fontId="119" fillId="0" borderId="0"/>
  </cellStyleXfs>
  <cellXfs count="1602">
    <xf numFmtId="0" fontId="0" fillId="0" borderId="0" xfId="0"/>
    <xf numFmtId="0" fontId="2" fillId="2" borderId="0" xfId="0" applyFont="1" applyFill="1"/>
    <xf numFmtId="0" fontId="2" fillId="3" borderId="0" xfId="0" applyFont="1" applyFill="1"/>
    <xf numFmtId="0" fontId="2" fillId="3" borderId="4" xfId="0" applyFont="1" applyFill="1" applyBorder="1"/>
    <xf numFmtId="0" fontId="2" fillId="3" borderId="0" xfId="0" applyFont="1" applyFill="1" applyBorder="1"/>
    <xf numFmtId="0" fontId="2" fillId="3" borderId="5" xfId="0" applyFont="1" applyFill="1" applyBorder="1"/>
    <xf numFmtId="0" fontId="5" fillId="3" borderId="0" xfId="0" applyFont="1" applyFill="1" applyBorder="1"/>
    <xf numFmtId="0" fontId="2" fillId="3" borderId="6" xfId="0" applyFont="1" applyFill="1" applyBorder="1"/>
    <xf numFmtId="0" fontId="2" fillId="3" borderId="7" xfId="0" applyFont="1" applyFill="1" applyBorder="1"/>
    <xf numFmtId="0" fontId="2" fillId="3" borderId="8" xfId="0" applyFont="1" applyFill="1" applyBorder="1"/>
    <xf numFmtId="0" fontId="6" fillId="0" borderId="0" xfId="0" applyFont="1" applyFill="1" applyBorder="1" applyAlignment="1" applyProtection="1">
      <alignment vertical="center"/>
      <protection hidden="1"/>
    </xf>
    <xf numFmtId="0" fontId="6" fillId="0" borderId="0" xfId="0" quotePrefix="1" applyFont="1" applyFill="1" applyBorder="1" applyAlignment="1" applyProtection="1">
      <alignment horizontal="left" vertical="center"/>
      <protection hidden="1"/>
    </xf>
    <xf numFmtId="0" fontId="5" fillId="3" borderId="0" xfId="0" applyFont="1" applyFill="1" applyBorder="1" applyAlignment="1">
      <alignment vertical="top"/>
    </xf>
    <xf numFmtId="0" fontId="7" fillId="0" borderId="0" xfId="0" applyFont="1"/>
    <xf numFmtId="0" fontId="10" fillId="3" borderId="0" xfId="0" applyFont="1" applyFill="1"/>
    <xf numFmtId="0" fontId="2" fillId="2" borderId="0" xfId="0" applyFont="1" applyFill="1" applyAlignment="1">
      <alignment wrapText="1"/>
    </xf>
    <xf numFmtId="166" fontId="9" fillId="3" borderId="0" xfId="0" applyNumberFormat="1" applyFont="1" applyFill="1" applyBorder="1" applyAlignment="1">
      <alignment horizontal="center"/>
    </xf>
    <xf numFmtId="0" fontId="2" fillId="3" borderId="13" xfId="0" applyFont="1" applyFill="1" applyBorder="1"/>
    <xf numFmtId="0" fontId="2" fillId="3" borderId="14" xfId="0" applyFont="1" applyFill="1" applyBorder="1"/>
    <xf numFmtId="0" fontId="2" fillId="3" borderId="15" xfId="0" applyFont="1" applyFill="1" applyBorder="1"/>
    <xf numFmtId="0" fontId="2" fillId="3" borderId="16" xfId="0" applyFont="1" applyFill="1" applyBorder="1"/>
    <xf numFmtId="0" fontId="2" fillId="3" borderId="17" xfId="0" applyFont="1" applyFill="1" applyBorder="1"/>
    <xf numFmtId="0" fontId="2" fillId="3" borderId="18" xfId="0" applyFont="1" applyFill="1" applyBorder="1"/>
    <xf numFmtId="0" fontId="2" fillId="3" borderId="19" xfId="0" applyFont="1" applyFill="1" applyBorder="1"/>
    <xf numFmtId="0" fontId="2" fillId="3" borderId="20" xfId="0" applyFont="1" applyFill="1" applyBorder="1"/>
    <xf numFmtId="0" fontId="2" fillId="3" borderId="0" xfId="0" applyFont="1" applyFill="1" applyBorder="1" applyAlignment="1">
      <alignment vertical="center"/>
    </xf>
    <xf numFmtId="166" fontId="2" fillId="2" borderId="0" xfId="0" applyNumberFormat="1" applyFont="1" applyFill="1" applyAlignment="1"/>
    <xf numFmtId="0" fontId="5" fillId="3" borderId="0" xfId="0" applyFont="1" applyFill="1" applyBorder="1" applyAlignment="1">
      <alignment vertical="center"/>
    </xf>
    <xf numFmtId="0" fontId="5" fillId="3" borderId="19" xfId="0" applyFont="1" applyFill="1" applyBorder="1" applyAlignment="1">
      <alignment vertical="center"/>
    </xf>
    <xf numFmtId="0" fontId="1" fillId="3" borderId="0" xfId="0" applyFont="1" applyFill="1" applyBorder="1" applyAlignment="1" applyProtection="1">
      <alignment horizontal="center"/>
      <protection locked="0"/>
    </xf>
    <xf numFmtId="0" fontId="2" fillId="3" borderId="0" xfId="0" applyFont="1" applyFill="1" applyBorder="1" applyProtection="1">
      <protection locked="0"/>
    </xf>
    <xf numFmtId="0" fontId="1" fillId="3" borderId="9" xfId="0" applyFont="1" applyFill="1" applyBorder="1" applyAlignment="1" applyProtection="1">
      <alignment horizontal="center" vertical="center"/>
      <protection locked="0"/>
    </xf>
    <xf numFmtId="9" fontId="1" fillId="3" borderId="9" xfId="0" applyNumberFormat="1" applyFont="1" applyFill="1" applyBorder="1" applyAlignment="1" applyProtection="1">
      <alignment horizontal="center" vertical="center"/>
      <protection locked="0"/>
    </xf>
    <xf numFmtId="165" fontId="1" fillId="3" borderId="0" xfId="0" applyNumberFormat="1" applyFont="1" applyFill="1" applyBorder="1" applyAlignment="1" applyProtection="1">
      <alignment horizontal="center" vertical="center"/>
      <protection locked="0"/>
    </xf>
    <xf numFmtId="0" fontId="1" fillId="3" borderId="19" xfId="0" applyFont="1" applyFill="1" applyBorder="1" applyAlignment="1" applyProtection="1">
      <alignment horizontal="center" vertical="center"/>
      <protection locked="0"/>
    </xf>
    <xf numFmtId="0" fontId="1" fillId="3" borderId="9" xfId="0" applyFont="1" applyFill="1" applyBorder="1" applyAlignment="1" applyProtection="1">
      <alignment horizontal="center"/>
      <protection locked="0"/>
    </xf>
    <xf numFmtId="0" fontId="13" fillId="3" borderId="0" xfId="0" applyFont="1" applyFill="1" applyBorder="1" applyAlignment="1" applyProtection="1">
      <alignment horizontal="right" vertical="center"/>
      <protection locked="0"/>
    </xf>
    <xf numFmtId="0" fontId="14" fillId="3" borderId="0" xfId="0" applyFont="1" applyFill="1" applyBorder="1" applyAlignment="1" applyProtection="1">
      <alignment horizontal="left" vertical="center"/>
    </xf>
    <xf numFmtId="0" fontId="11" fillId="3" borderId="0" xfId="0" applyFont="1" applyFill="1" applyBorder="1" applyAlignment="1">
      <alignment horizontal="left" vertical="center"/>
    </xf>
    <xf numFmtId="0" fontId="11" fillId="3" borderId="19" xfId="0" applyFont="1" applyFill="1" applyBorder="1" applyAlignment="1">
      <alignment horizontal="left" vertical="center"/>
    </xf>
    <xf numFmtId="166" fontId="12" fillId="3" borderId="19" xfId="0" applyNumberFormat="1" applyFont="1" applyFill="1" applyBorder="1" applyAlignment="1">
      <alignment horizontal="center"/>
    </xf>
    <xf numFmtId="0" fontId="17" fillId="0" borderId="0" xfId="0" applyFont="1" applyAlignment="1">
      <alignment vertical="center"/>
    </xf>
    <xf numFmtId="0" fontId="17" fillId="0" borderId="0" xfId="0" applyFont="1"/>
    <xf numFmtId="0" fontId="17" fillId="2" borderId="0" xfId="0" applyFont="1" applyFill="1" applyAlignment="1">
      <alignment vertical="center"/>
    </xf>
    <xf numFmtId="0" fontId="17" fillId="2" borderId="0" xfId="0" applyFont="1" applyFill="1"/>
    <xf numFmtId="3" fontId="1" fillId="3" borderId="0" xfId="0" applyNumberFormat="1" applyFont="1" applyFill="1" applyBorder="1" applyAlignment="1" applyProtection="1">
      <alignment horizontal="center"/>
      <protection locked="0"/>
    </xf>
    <xf numFmtId="0" fontId="1" fillId="3" borderId="0" xfId="0" quotePrefix="1" applyFont="1" applyFill="1" applyBorder="1" applyAlignment="1" applyProtection="1">
      <alignment horizontal="center" vertical="center"/>
      <protection locked="0"/>
    </xf>
    <xf numFmtId="0" fontId="1" fillId="3" borderId="0" xfId="0" applyFont="1" applyFill="1" applyBorder="1" applyAlignment="1" applyProtection="1">
      <protection locked="0"/>
    </xf>
    <xf numFmtId="0" fontId="1" fillId="3" borderId="0" xfId="0" applyFont="1" applyFill="1" applyBorder="1" applyAlignment="1" applyProtection="1">
      <alignment horizontal="right"/>
      <protection locked="0"/>
    </xf>
    <xf numFmtId="0" fontId="21" fillId="3" borderId="9" xfId="0" applyFont="1" applyFill="1" applyBorder="1" applyAlignment="1" applyProtection="1">
      <alignment horizontal="left" vertical="center"/>
      <protection locked="0"/>
    </xf>
    <xf numFmtId="0" fontId="17" fillId="0" borderId="0" xfId="0" applyFont="1" applyAlignment="1">
      <alignment horizontal="justify" vertical="top" wrapText="1"/>
    </xf>
    <xf numFmtId="0" fontId="29" fillId="2" borderId="24" xfId="0" applyFont="1" applyFill="1" applyBorder="1" applyAlignment="1">
      <alignment vertical="center"/>
    </xf>
    <xf numFmtId="0" fontId="29" fillId="2" borderId="24" xfId="0" applyFont="1" applyFill="1" applyBorder="1" applyAlignment="1">
      <alignment horizontal="center" vertical="center"/>
    </xf>
    <xf numFmtId="0" fontId="28" fillId="2" borderId="0" xfId="0" applyFont="1" applyFill="1"/>
    <xf numFmtId="0" fontId="29" fillId="2" borderId="0" xfId="0" applyFont="1" applyFill="1" applyAlignment="1">
      <alignment horizontal="center" vertical="center"/>
    </xf>
    <xf numFmtId="0" fontId="28" fillId="2" borderId="0" xfId="0" applyFont="1" applyFill="1" applyAlignment="1">
      <alignment horizontal="center" vertical="center"/>
    </xf>
    <xf numFmtId="0" fontId="17" fillId="2" borderId="27" xfId="0" applyFont="1" applyFill="1" applyBorder="1" applyAlignment="1">
      <alignment horizontal="center" vertical="center"/>
    </xf>
    <xf numFmtId="0" fontId="17" fillId="2" borderId="28" xfId="0" applyFont="1" applyFill="1" applyBorder="1" applyAlignment="1">
      <alignment horizontal="center" vertical="center"/>
    </xf>
    <xf numFmtId="0" fontId="17" fillId="2" borderId="29" xfId="0" applyFont="1" applyFill="1" applyBorder="1" applyAlignment="1">
      <alignment horizontal="center" vertical="center"/>
    </xf>
    <xf numFmtId="0" fontId="22" fillId="2" borderId="36" xfId="0" applyNumberFormat="1" applyFont="1" applyFill="1" applyBorder="1" applyAlignment="1">
      <alignment horizontal="center" vertical="center"/>
    </xf>
    <xf numFmtId="0" fontId="22" fillId="2" borderId="37" xfId="0" applyNumberFormat="1" applyFont="1" applyFill="1" applyBorder="1" applyAlignment="1">
      <alignment horizontal="center" vertical="center"/>
    </xf>
    <xf numFmtId="0" fontId="24" fillId="2" borderId="39" xfId="0" applyNumberFormat="1" applyFont="1" applyFill="1" applyBorder="1" applyAlignment="1">
      <alignment horizontal="center" vertical="center"/>
    </xf>
    <xf numFmtId="4" fontId="26" fillId="2" borderId="39" xfId="0" applyNumberFormat="1" applyFont="1" applyFill="1" applyBorder="1" applyAlignment="1">
      <alignment horizontal="right" vertical="center"/>
    </xf>
    <xf numFmtId="0" fontId="32" fillId="5" borderId="39" xfId="2" applyFont="1" applyFill="1" applyBorder="1" applyAlignment="1" applyProtection="1">
      <alignment horizontal="center" vertical="center"/>
      <protection locked="0"/>
    </xf>
    <xf numFmtId="0" fontId="24" fillId="5" borderId="39" xfId="0" applyNumberFormat="1" applyFont="1" applyFill="1" applyBorder="1" applyAlignment="1">
      <alignment horizontal="center" vertical="center"/>
    </xf>
    <xf numFmtId="4" fontId="26" fillId="5" borderId="39" xfId="0" applyNumberFormat="1" applyFont="1" applyFill="1" applyBorder="1" applyAlignment="1">
      <alignment horizontal="right" vertical="center"/>
    </xf>
    <xf numFmtId="0" fontId="24" fillId="2" borderId="39" xfId="0" applyNumberFormat="1" applyFont="1" applyFill="1" applyBorder="1" applyAlignment="1">
      <alignment horizontal="center" vertical="top" wrapText="1"/>
    </xf>
    <xf numFmtId="4" fontId="26" fillId="2" borderId="39" xfId="0" applyNumberFormat="1" applyFont="1" applyFill="1" applyBorder="1" applyAlignment="1">
      <alignment horizontal="right" vertical="top" wrapText="1"/>
    </xf>
    <xf numFmtId="0" fontId="24" fillId="2" borderId="39" xfId="0" applyNumberFormat="1" applyFont="1" applyFill="1" applyBorder="1" applyAlignment="1">
      <alignment horizontal="center"/>
    </xf>
    <xf numFmtId="4" fontId="26" fillId="2" borderId="39" xfId="0" applyNumberFormat="1" applyFont="1" applyFill="1" applyBorder="1" applyAlignment="1">
      <alignment horizontal="right"/>
    </xf>
    <xf numFmtId="0" fontId="24" fillId="0" borderId="39" xfId="0" applyFont="1" applyBorder="1" applyAlignment="1">
      <alignment horizontal="center"/>
    </xf>
    <xf numFmtId="4" fontId="26" fillId="0" borderId="39" xfId="0" applyNumberFormat="1" applyFont="1" applyBorder="1" applyAlignment="1">
      <alignment horizontal="right"/>
    </xf>
    <xf numFmtId="0" fontId="24" fillId="2" borderId="39" xfId="0" applyNumberFormat="1" applyFont="1" applyFill="1" applyBorder="1" applyAlignment="1">
      <alignment horizontal="center" vertical="center"/>
    </xf>
    <xf numFmtId="0" fontId="24" fillId="2" borderId="40" xfId="0" applyNumberFormat="1" applyFont="1" applyFill="1" applyBorder="1" applyAlignment="1">
      <alignment horizontal="center" vertical="center"/>
    </xf>
    <xf numFmtId="0" fontId="24" fillId="2" borderId="40" xfId="0" applyNumberFormat="1" applyFont="1" applyFill="1" applyBorder="1" applyAlignment="1">
      <alignment horizontal="center" vertical="center"/>
    </xf>
    <xf numFmtId="4" fontId="26" fillId="0" borderId="40" xfId="0" applyNumberFormat="1" applyFont="1" applyBorder="1" applyAlignment="1">
      <alignment horizontal="right"/>
    </xf>
    <xf numFmtId="0" fontId="24" fillId="0" borderId="40" xfId="0" applyFont="1" applyBorder="1" applyAlignment="1">
      <alignment horizontal="center"/>
    </xf>
    <xf numFmtId="0" fontId="24" fillId="2" borderId="39" xfId="0" applyNumberFormat="1" applyFont="1" applyFill="1" applyBorder="1" applyAlignment="1" applyProtection="1">
      <alignment horizontal="left" vertical="top" wrapText="1"/>
      <protection locked="0"/>
    </xf>
    <xf numFmtId="0" fontId="24" fillId="2" borderId="40" xfId="0" applyNumberFormat="1" applyFont="1" applyFill="1" applyBorder="1" applyAlignment="1" applyProtection="1">
      <alignment horizontal="left" vertical="top" wrapText="1"/>
      <protection locked="0"/>
    </xf>
    <xf numFmtId="0" fontId="22" fillId="2" borderId="40" xfId="0" applyNumberFormat="1" applyFont="1" applyFill="1" applyBorder="1" applyAlignment="1">
      <alignment horizontal="center" vertical="center"/>
    </xf>
    <xf numFmtId="0" fontId="25" fillId="6" borderId="39" xfId="0" applyNumberFormat="1" applyFont="1" applyFill="1" applyBorder="1" applyAlignment="1">
      <alignment horizontal="center" vertical="center"/>
    </xf>
    <xf numFmtId="0" fontId="24" fillId="0" borderId="0" xfId="0" applyFont="1" applyAlignment="1">
      <alignment horizontal="center" vertical="center"/>
    </xf>
    <xf numFmtId="0" fontId="24" fillId="0" borderId="0" xfId="0" applyFont="1" applyAlignment="1">
      <alignment vertical="center"/>
    </xf>
    <xf numFmtId="4" fontId="24" fillId="0" borderId="0" xfId="0" applyNumberFormat="1" applyFont="1" applyAlignment="1">
      <alignment horizontal="right" vertical="center"/>
    </xf>
    <xf numFmtId="0" fontId="24" fillId="2" borderId="0" xfId="0" applyFont="1" applyFill="1" applyAlignment="1">
      <alignment horizontal="center" vertical="center"/>
    </xf>
    <xf numFmtId="0" fontId="24" fillId="2" borderId="0" xfId="0" applyFont="1" applyFill="1" applyAlignment="1">
      <alignment vertical="center"/>
    </xf>
    <xf numFmtId="4" fontId="24" fillId="2" borderId="0" xfId="0" applyNumberFormat="1" applyFont="1" applyFill="1" applyAlignment="1">
      <alignment horizontal="right" vertical="center"/>
    </xf>
    <xf numFmtId="0" fontId="24" fillId="2" borderId="39" xfId="0" applyFont="1" applyFill="1" applyBorder="1" applyAlignment="1">
      <alignment horizontal="center" vertical="center"/>
    </xf>
    <xf numFmtId="0" fontId="25" fillId="2" borderId="39" xfId="0" applyFont="1" applyFill="1" applyBorder="1" applyAlignment="1">
      <alignment horizontal="justify" vertical="center" wrapText="1"/>
    </xf>
    <xf numFmtId="0" fontId="24" fillId="2" borderId="39" xfId="0" applyFont="1" applyFill="1" applyBorder="1" applyAlignment="1">
      <alignment horizontal="center" vertical="center" wrapText="1"/>
    </xf>
    <xf numFmtId="4" fontId="24" fillId="2" borderId="39" xfId="0" applyNumberFormat="1" applyFont="1" applyFill="1" applyBorder="1" applyAlignment="1">
      <alignment horizontal="right" vertical="center" wrapText="1"/>
    </xf>
    <xf numFmtId="0" fontId="24" fillId="2" borderId="39" xfId="0" applyFont="1" applyFill="1" applyBorder="1" applyAlignment="1">
      <alignment horizontal="justify" vertical="center" wrapText="1"/>
    </xf>
    <xf numFmtId="0" fontId="25" fillId="2" borderId="39" xfId="0" applyFont="1" applyFill="1" applyBorder="1" applyAlignment="1">
      <alignment horizontal="center" vertical="center"/>
    </xf>
    <xf numFmtId="0" fontId="24" fillId="2" borderId="0" xfId="0" applyFont="1" applyFill="1" applyAlignment="1">
      <alignment horizontal="justify" vertical="center" wrapText="1"/>
    </xf>
    <xf numFmtId="0" fontId="24" fillId="2" borderId="0" xfId="0" applyFont="1" applyFill="1" applyAlignment="1">
      <alignment horizontal="left" vertical="center"/>
    </xf>
    <xf numFmtId="0" fontId="25" fillId="5" borderId="39" xfId="0" applyFont="1" applyFill="1" applyBorder="1" applyAlignment="1">
      <alignment horizontal="center" vertical="center"/>
    </xf>
    <xf numFmtId="4" fontId="25" fillId="5" borderId="39" xfId="0" applyNumberFormat="1" applyFont="1" applyFill="1" applyBorder="1" applyAlignment="1">
      <alignment horizontal="center" vertical="center"/>
    </xf>
    <xf numFmtId="4" fontId="25" fillId="2" borderId="39" xfId="0" applyNumberFormat="1" applyFont="1" applyFill="1" applyBorder="1" applyAlignment="1">
      <alignment horizontal="right" vertical="center" wrapText="1"/>
    </xf>
    <xf numFmtId="0" fontId="24" fillId="5" borderId="46" xfId="0" applyFont="1" applyFill="1" applyBorder="1" applyAlignment="1">
      <alignment horizontal="left" vertical="center"/>
    </xf>
    <xf numFmtId="0" fontId="24" fillId="5" borderId="50" xfId="0" applyFont="1" applyFill="1" applyBorder="1" applyAlignment="1">
      <alignment horizontal="left" vertical="center"/>
    </xf>
    <xf numFmtId="0" fontId="24" fillId="5" borderId="47" xfId="0" applyFont="1" applyFill="1" applyBorder="1" applyAlignment="1">
      <alignment horizontal="left" vertical="center"/>
    </xf>
    <xf numFmtId="0" fontId="25" fillId="8" borderId="39" xfId="0" applyFont="1" applyFill="1" applyBorder="1" applyAlignment="1">
      <alignment horizontal="center" vertical="center"/>
    </xf>
    <xf numFmtId="4" fontId="24" fillId="2" borderId="39" xfId="0" applyNumberFormat="1" applyFont="1" applyFill="1" applyBorder="1" applyAlignment="1">
      <alignment vertical="center"/>
    </xf>
    <xf numFmtId="0" fontId="24" fillId="5" borderId="46" xfId="0" applyFont="1" applyFill="1" applyBorder="1" applyAlignment="1">
      <alignment vertical="center"/>
    </xf>
    <xf numFmtId="0" fontId="24" fillId="5" borderId="50" xfId="0" applyFont="1" applyFill="1" applyBorder="1" applyAlignment="1">
      <alignment vertical="center"/>
    </xf>
    <xf numFmtId="0" fontId="24" fillId="5" borderId="47" xfId="0" applyFont="1" applyFill="1" applyBorder="1" applyAlignment="1">
      <alignment vertical="center"/>
    </xf>
    <xf numFmtId="166" fontId="36" fillId="5" borderId="39" xfId="0" applyNumberFormat="1" applyFont="1" applyFill="1" applyBorder="1" applyAlignment="1">
      <alignment horizontal="right" vertical="center"/>
    </xf>
    <xf numFmtId="166" fontId="32" fillId="7" borderId="39" xfId="0" applyNumberFormat="1" applyFont="1" applyFill="1" applyBorder="1" applyAlignment="1">
      <alignment horizontal="right" vertical="center"/>
    </xf>
    <xf numFmtId="0" fontId="24" fillId="13" borderId="0" xfId="0" applyFont="1" applyFill="1" applyAlignment="1">
      <alignment vertical="center"/>
    </xf>
    <xf numFmtId="166" fontId="25" fillId="7" borderId="46" xfId="0" applyNumberFormat="1" applyFont="1" applyFill="1" applyBorder="1" applyAlignment="1">
      <alignment horizontal="right" vertical="center"/>
    </xf>
    <xf numFmtId="166" fontId="36" fillId="5" borderId="46" xfId="0" applyNumberFormat="1" applyFont="1" applyFill="1" applyBorder="1" applyAlignment="1">
      <alignment horizontal="right" vertical="center"/>
    </xf>
    <xf numFmtId="0" fontId="25" fillId="2" borderId="0" xfId="0" applyFont="1" applyFill="1" applyAlignment="1">
      <alignment horizontal="left" vertical="center"/>
    </xf>
    <xf numFmtId="4" fontId="24" fillId="2" borderId="39" xfId="0" applyNumberFormat="1" applyFont="1" applyFill="1" applyBorder="1" applyAlignment="1">
      <alignment horizontal="right" vertical="center"/>
    </xf>
    <xf numFmtId="0" fontId="24" fillId="2" borderId="46" xfId="0" applyFont="1" applyFill="1" applyBorder="1" applyAlignment="1">
      <alignment horizontal="justify" vertical="center" wrapText="1"/>
    </xf>
    <xf numFmtId="0" fontId="25" fillId="2" borderId="46" xfId="0" applyFont="1" applyFill="1" applyBorder="1" applyAlignment="1">
      <alignment horizontal="justify" vertical="center" wrapText="1"/>
    </xf>
    <xf numFmtId="0" fontId="25" fillId="2" borderId="0" xfId="0" applyFont="1" applyFill="1" applyAlignment="1">
      <alignment vertical="center"/>
    </xf>
    <xf numFmtId="4" fontId="25" fillId="2" borderId="39" xfId="0" applyNumberFormat="1" applyFont="1" applyFill="1" applyBorder="1" applyAlignment="1">
      <alignment horizontal="right" vertical="center"/>
    </xf>
    <xf numFmtId="0" fontId="24" fillId="2" borderId="46" xfId="0" applyFont="1" applyFill="1" applyBorder="1" applyAlignment="1">
      <alignment vertical="center"/>
    </xf>
    <xf numFmtId="0" fontId="24" fillId="2" borderId="50" xfId="0" applyFont="1" applyFill="1" applyBorder="1" applyAlignment="1">
      <alignment vertical="center"/>
    </xf>
    <xf numFmtId="0" fontId="25" fillId="2" borderId="46" xfId="0" applyFont="1" applyFill="1" applyBorder="1" applyAlignment="1">
      <alignment vertical="center"/>
    </xf>
    <xf numFmtId="0" fontId="24" fillId="2" borderId="47" xfId="0" applyFont="1" applyFill="1" applyBorder="1" applyAlignment="1">
      <alignment horizontal="right" vertical="center"/>
    </xf>
    <xf numFmtId="0" fontId="24" fillId="2" borderId="50" xfId="0" applyFont="1" applyFill="1" applyBorder="1" applyAlignment="1">
      <alignment horizontal="center" vertical="center"/>
    </xf>
    <xf numFmtId="4" fontId="24" fillId="2" borderId="50" xfId="0" applyNumberFormat="1" applyFont="1" applyFill="1" applyBorder="1" applyAlignment="1">
      <alignment horizontal="right" vertical="center"/>
    </xf>
    <xf numFmtId="4" fontId="24" fillId="2" borderId="47" xfId="0" applyNumberFormat="1" applyFont="1" applyFill="1" applyBorder="1" applyAlignment="1">
      <alignment horizontal="right" vertical="center"/>
    </xf>
    <xf numFmtId="10" fontId="32" fillId="5" borderId="39" xfId="1" applyNumberFormat="1" applyFont="1" applyFill="1" applyBorder="1" applyAlignment="1">
      <alignment horizontal="center" vertical="center"/>
    </xf>
    <xf numFmtId="0" fontId="24" fillId="2" borderId="0" xfId="0" applyFont="1" applyFill="1" applyAlignment="1">
      <alignment horizontal="right" vertical="center"/>
    </xf>
    <xf numFmtId="0" fontId="24" fillId="2" borderId="50" xfId="0" applyFont="1" applyFill="1" applyBorder="1" applyAlignment="1">
      <alignment horizontal="right" vertical="center"/>
    </xf>
    <xf numFmtId="4" fontId="24" fillId="2" borderId="0" xfId="0" applyNumberFormat="1" applyFont="1" applyFill="1" applyAlignment="1">
      <alignment horizontal="left" vertical="center"/>
    </xf>
    <xf numFmtId="4" fontId="25" fillId="2" borderId="0" xfId="0" applyNumberFormat="1" applyFont="1" applyFill="1" applyAlignment="1">
      <alignment horizontal="left" vertical="center"/>
    </xf>
    <xf numFmtId="0" fontId="18" fillId="0" borderId="39" xfId="0" applyFont="1" applyBorder="1" applyAlignment="1">
      <alignment vertical="center"/>
    </xf>
    <xf numFmtId="0" fontId="18" fillId="0" borderId="39" xfId="0" applyFont="1" applyBorder="1" applyAlignment="1">
      <alignment horizontal="center" vertical="center"/>
    </xf>
    <xf numFmtId="0" fontId="32" fillId="12" borderId="39" xfId="0" applyFont="1" applyFill="1" applyBorder="1" applyAlignment="1">
      <alignment horizontal="center" vertical="center"/>
    </xf>
    <xf numFmtId="0" fontId="32" fillId="14" borderId="39" xfId="0" applyFont="1" applyFill="1" applyBorder="1" applyAlignment="1">
      <alignment horizontal="center" vertical="center"/>
    </xf>
    <xf numFmtId="0" fontId="29" fillId="2" borderId="24" xfId="0" applyFont="1" applyFill="1" applyBorder="1" applyAlignment="1">
      <alignment horizontal="center" vertical="center"/>
    </xf>
    <xf numFmtId="166" fontId="28" fillId="2" borderId="0" xfId="0" applyNumberFormat="1" applyFont="1" applyFill="1" applyAlignment="1">
      <alignment horizontal="justify" vertical="top" wrapText="1"/>
    </xf>
    <xf numFmtId="0" fontId="19" fillId="2" borderId="0" xfId="0" applyFont="1" applyFill="1" applyBorder="1" applyAlignment="1">
      <alignment horizontal="center" vertical="center"/>
    </xf>
    <xf numFmtId="0" fontId="29" fillId="2" borderId="24" xfId="0" applyFont="1" applyFill="1" applyBorder="1" applyAlignment="1">
      <alignment horizontal="center" vertical="center"/>
    </xf>
    <xf numFmtId="166" fontId="28" fillId="2" borderId="0" xfId="0" applyNumberFormat="1" applyFont="1" applyFill="1" applyAlignment="1">
      <alignment horizontal="justify" vertical="top" wrapText="1"/>
    </xf>
    <xf numFmtId="0" fontId="41" fillId="2" borderId="0" xfId="0" applyFont="1" applyFill="1" applyBorder="1" applyAlignment="1">
      <alignment horizontal="center" vertical="center"/>
    </xf>
    <xf numFmtId="0" fontId="19" fillId="2" borderId="0" xfId="0" applyFont="1" applyFill="1" applyBorder="1" applyAlignment="1">
      <alignment horizontal="center" vertical="center"/>
    </xf>
    <xf numFmtId="0" fontId="29" fillId="2" borderId="24" xfId="0" applyFont="1" applyFill="1" applyBorder="1" applyAlignment="1">
      <alignment horizontal="center" vertical="center"/>
    </xf>
    <xf numFmtId="166" fontId="28" fillId="2" borderId="0" xfId="0" applyNumberFormat="1" applyFont="1" applyFill="1" applyAlignment="1">
      <alignment horizontal="justify" vertical="top" wrapText="1"/>
    </xf>
    <xf numFmtId="0" fontId="29" fillId="2" borderId="0" xfId="0" applyFont="1" applyFill="1" applyAlignment="1">
      <alignment horizontal="center" vertical="center"/>
    </xf>
    <xf numFmtId="0" fontId="28" fillId="2" borderId="0" xfId="0" applyFont="1" applyFill="1" applyAlignment="1">
      <alignment horizontal="center" vertical="center"/>
    </xf>
    <xf numFmtId="4" fontId="24" fillId="2" borderId="39" xfId="0" applyNumberFormat="1" applyFont="1" applyFill="1" applyBorder="1" applyAlignment="1">
      <alignment horizontal="left" vertical="center" wrapText="1"/>
    </xf>
    <xf numFmtId="168" fontId="24" fillId="2" borderId="39" xfId="0" applyNumberFormat="1" applyFont="1" applyFill="1" applyBorder="1" applyAlignment="1">
      <alignment horizontal="center" vertical="center" wrapText="1"/>
    </xf>
    <xf numFmtId="0" fontId="25" fillId="5" borderId="39" xfId="0" applyFont="1" applyFill="1" applyBorder="1" applyAlignment="1">
      <alignment horizontal="center" vertical="center"/>
    </xf>
    <xf numFmtId="0" fontId="32" fillId="14" borderId="39" xfId="0" applyFont="1" applyFill="1" applyBorder="1" applyAlignment="1">
      <alignment horizontal="center" vertical="center"/>
    </xf>
    <xf numFmtId="4" fontId="25" fillId="2" borderId="39" xfId="0" applyNumberFormat="1" applyFont="1" applyFill="1" applyBorder="1" applyAlignment="1">
      <alignment vertical="center"/>
    </xf>
    <xf numFmtId="0" fontId="25" fillId="15" borderId="39" xfId="0" applyFont="1" applyFill="1" applyBorder="1" applyAlignment="1">
      <alignment horizontal="center" vertical="center"/>
    </xf>
    <xf numFmtId="0" fontId="32" fillId="15" borderId="39" xfId="0" applyFont="1" applyFill="1" applyBorder="1" applyAlignment="1">
      <alignment horizontal="center" vertical="center"/>
    </xf>
    <xf numFmtId="0" fontId="5" fillId="3" borderId="0" xfId="0" applyFont="1" applyFill="1" applyBorder="1" applyAlignment="1">
      <alignment horizontal="left"/>
    </xf>
    <xf numFmtId="168" fontId="1" fillId="3" borderId="9" xfId="0" applyNumberFormat="1" applyFont="1" applyFill="1" applyBorder="1" applyAlignment="1" applyProtection="1">
      <alignment horizontal="center" vertical="center"/>
      <protection locked="0"/>
    </xf>
    <xf numFmtId="168" fontId="2" fillId="3" borderId="0" xfId="0" applyNumberFormat="1" applyFont="1" applyFill="1" applyBorder="1"/>
    <xf numFmtId="0" fontId="25" fillId="2" borderId="41" xfId="0" applyFont="1" applyFill="1" applyBorder="1" applyAlignment="1">
      <alignment horizontal="justify" vertical="center" wrapText="1"/>
    </xf>
    <xf numFmtId="0" fontId="24" fillId="2" borderId="41" xfId="0" applyFont="1" applyFill="1" applyBorder="1" applyAlignment="1">
      <alignment horizontal="center" vertical="center" wrapText="1"/>
    </xf>
    <xf numFmtId="4" fontId="24" fillId="2" borderId="41" xfId="0" applyNumberFormat="1" applyFont="1" applyFill="1" applyBorder="1" applyAlignment="1">
      <alignment horizontal="right" vertical="center" wrapText="1"/>
    </xf>
    <xf numFmtId="167" fontId="32" fillId="5" borderId="56" xfId="2" applyNumberFormat="1" applyFont="1" applyFill="1" applyBorder="1" applyAlignment="1" applyProtection="1">
      <alignment vertical="center"/>
      <protection locked="0"/>
    </xf>
    <xf numFmtId="167" fontId="32" fillId="5" borderId="60" xfId="2" applyNumberFormat="1" applyFont="1" applyFill="1" applyBorder="1" applyAlignment="1" applyProtection="1">
      <alignment vertical="center"/>
      <protection locked="0"/>
    </xf>
    <xf numFmtId="4" fontId="24" fillId="5" borderId="43" xfId="0" applyNumberFormat="1" applyFont="1" applyFill="1" applyBorder="1" applyAlignment="1">
      <alignment horizontal="right" vertical="center" wrapText="1"/>
    </xf>
    <xf numFmtId="4" fontId="25" fillId="5" borderId="44" xfId="0" applyNumberFormat="1" applyFont="1" applyFill="1" applyBorder="1" applyAlignment="1">
      <alignment horizontal="right" vertical="center" wrapText="1"/>
    </xf>
    <xf numFmtId="4" fontId="24" fillId="2" borderId="41" xfId="0" applyNumberFormat="1" applyFont="1" applyFill="1" applyBorder="1" applyAlignment="1">
      <alignment vertical="center"/>
    </xf>
    <xf numFmtId="4" fontId="24" fillId="2" borderId="40" xfId="0" applyNumberFormat="1" applyFont="1" applyFill="1" applyBorder="1" applyAlignment="1">
      <alignment vertical="center"/>
    </xf>
    <xf numFmtId="4" fontId="42" fillId="8" borderId="42" xfId="0" applyNumberFormat="1" applyFont="1" applyFill="1" applyBorder="1" applyAlignment="1">
      <alignment vertical="center"/>
    </xf>
    <xf numFmtId="4" fontId="32" fillId="8" borderId="44" xfId="0" applyNumberFormat="1" applyFont="1" applyFill="1" applyBorder="1" applyAlignment="1">
      <alignment horizontal="right" vertical="center" wrapText="1"/>
    </xf>
    <xf numFmtId="4" fontId="24" fillId="12" borderId="42" xfId="0" applyNumberFormat="1" applyFont="1" applyFill="1" applyBorder="1" applyAlignment="1">
      <alignment vertical="center"/>
    </xf>
    <xf numFmtId="4" fontId="25" fillId="12" borderId="44" xfId="0" applyNumberFormat="1" applyFont="1" applyFill="1" applyBorder="1" applyAlignment="1">
      <alignment horizontal="right" vertical="center" wrapText="1"/>
    </xf>
    <xf numFmtId="4" fontId="24" fillId="14" borderId="42" xfId="0" applyNumberFormat="1" applyFont="1" applyFill="1" applyBorder="1" applyAlignment="1">
      <alignment vertical="center"/>
    </xf>
    <xf numFmtId="4" fontId="25" fillId="14" borderId="44" xfId="0" applyNumberFormat="1" applyFont="1" applyFill="1" applyBorder="1" applyAlignment="1">
      <alignment horizontal="right" vertical="center" wrapText="1"/>
    </xf>
    <xf numFmtId="4" fontId="42" fillId="15" borderId="42" xfId="0" applyNumberFormat="1" applyFont="1" applyFill="1" applyBorder="1" applyAlignment="1">
      <alignment vertical="center"/>
    </xf>
    <xf numFmtId="4" fontId="25" fillId="15" borderId="44" xfId="0" applyNumberFormat="1" applyFont="1" applyFill="1" applyBorder="1" applyAlignment="1">
      <alignment horizontal="right" vertical="center" wrapText="1"/>
    </xf>
    <xf numFmtId="4" fontId="24" fillId="15" borderId="42" xfId="0" applyNumberFormat="1" applyFont="1" applyFill="1" applyBorder="1" applyAlignment="1">
      <alignment vertical="center"/>
    </xf>
    <xf numFmtId="0" fontId="25" fillId="5" borderId="39" xfId="0" applyFont="1" applyFill="1" applyBorder="1" applyAlignment="1">
      <alignment horizontal="center" vertical="center"/>
    </xf>
    <xf numFmtId="0" fontId="32" fillId="14" borderId="39" xfId="0" applyFont="1" applyFill="1" applyBorder="1" applyAlignment="1">
      <alignment horizontal="center" vertical="center"/>
    </xf>
    <xf numFmtId="4" fontId="24" fillId="12" borderId="39" xfId="0" applyNumberFormat="1" applyFont="1" applyFill="1" applyBorder="1" applyAlignment="1">
      <alignment vertical="center"/>
    </xf>
    <xf numFmtId="4" fontId="24" fillId="14" borderId="39" xfId="0" applyNumberFormat="1" applyFont="1" applyFill="1" applyBorder="1" applyAlignment="1">
      <alignment vertical="center"/>
    </xf>
    <xf numFmtId="4" fontId="25" fillId="2" borderId="41" xfId="0" applyNumberFormat="1" applyFont="1" applyFill="1" applyBorder="1" applyAlignment="1">
      <alignment horizontal="right" vertical="center" wrapText="1"/>
    </xf>
    <xf numFmtId="4" fontId="25" fillId="2" borderId="41" xfId="0" applyNumberFormat="1" applyFont="1" applyFill="1" applyBorder="1" applyAlignment="1">
      <alignment vertical="center"/>
    </xf>
    <xf numFmtId="4" fontId="24" fillId="8" borderId="39" xfId="0" applyNumberFormat="1" applyFont="1" applyFill="1" applyBorder="1" applyAlignment="1">
      <alignment vertical="center"/>
    </xf>
    <xf numFmtId="4" fontId="24" fillId="8" borderId="41" xfId="0" applyNumberFormat="1" applyFont="1" applyFill="1" applyBorder="1" applyAlignment="1">
      <alignment vertical="center"/>
    </xf>
    <xf numFmtId="166" fontId="28" fillId="2" borderId="0" xfId="0" applyNumberFormat="1" applyFont="1" applyFill="1" applyAlignment="1">
      <alignment horizontal="justify" vertical="top" wrapText="1"/>
    </xf>
    <xf numFmtId="0" fontId="28" fillId="5" borderId="24" xfId="0" applyFont="1" applyFill="1" applyBorder="1" applyAlignment="1">
      <alignment vertical="center"/>
    </xf>
    <xf numFmtId="0" fontId="24" fillId="2" borderId="47" xfId="0" applyFont="1" applyFill="1" applyBorder="1" applyAlignment="1">
      <alignment vertical="center"/>
    </xf>
    <xf numFmtId="0" fontId="24" fillId="2" borderId="50" xfId="0" applyFont="1" applyFill="1" applyBorder="1" applyAlignment="1">
      <alignment horizontal="left" vertical="center"/>
    </xf>
    <xf numFmtId="0" fontId="18" fillId="2" borderId="46" xfId="0" applyFont="1" applyFill="1" applyBorder="1" applyAlignment="1">
      <alignment horizontal="left" vertical="center"/>
    </xf>
    <xf numFmtId="0" fontId="24" fillId="5" borderId="0" xfId="0" applyFont="1" applyFill="1" applyBorder="1" applyAlignment="1">
      <alignment vertical="top"/>
    </xf>
    <xf numFmtId="0" fontId="24" fillId="5" borderId="51" xfId="0" applyFont="1" applyFill="1" applyBorder="1" applyAlignment="1">
      <alignment vertical="top"/>
    </xf>
    <xf numFmtId="0" fontId="24" fillId="5" borderId="52" xfId="0" applyFont="1" applyFill="1" applyBorder="1" applyAlignment="1">
      <alignment vertical="top"/>
    </xf>
    <xf numFmtId="0" fontId="24" fillId="5" borderId="49" xfId="0" applyFont="1" applyFill="1" applyBorder="1" applyAlignment="1">
      <alignment vertical="top"/>
    </xf>
    <xf numFmtId="0" fontId="31" fillId="2" borderId="47" xfId="4" applyFont="1" applyFill="1" applyBorder="1"/>
    <xf numFmtId="0" fontId="31" fillId="0" borderId="0" xfId="4" applyFont="1"/>
    <xf numFmtId="0" fontId="31" fillId="2" borderId="50" xfId="4" applyFont="1" applyFill="1" applyBorder="1"/>
    <xf numFmtId="0" fontId="31" fillId="2" borderId="0" xfId="4" applyFont="1" applyFill="1" applyBorder="1" applyAlignment="1">
      <alignment vertical="center"/>
    </xf>
    <xf numFmtId="4" fontId="31" fillId="0" borderId="0" xfId="4" applyNumberFormat="1" applyFont="1"/>
    <xf numFmtId="4" fontId="31" fillId="0" borderId="0" xfId="4" applyNumberFormat="1" applyFont="1" applyAlignment="1">
      <alignment horizontal="left"/>
    </xf>
    <xf numFmtId="0" fontId="31" fillId="0" borderId="0" xfId="4" applyFont="1" applyAlignment="1">
      <alignment horizontal="left"/>
    </xf>
    <xf numFmtId="0" fontId="46" fillId="0" borderId="0" xfId="4" applyFont="1"/>
    <xf numFmtId="0" fontId="31" fillId="0" borderId="69" xfId="4" applyFont="1" applyBorder="1" applyAlignment="1">
      <alignment vertical="center"/>
    </xf>
    <xf numFmtId="0" fontId="31" fillId="0" borderId="70" xfId="4" applyFont="1" applyBorder="1" applyAlignment="1">
      <alignment vertical="center"/>
    </xf>
    <xf numFmtId="0" fontId="31" fillId="0" borderId="70" xfId="4" applyFont="1" applyFill="1" applyBorder="1"/>
    <xf numFmtId="0" fontId="31" fillId="0" borderId="70" xfId="4" applyFont="1" applyFill="1" applyBorder="1" applyAlignment="1">
      <alignment horizontal="center"/>
    </xf>
    <xf numFmtId="0" fontId="31" fillId="0" borderId="70" xfId="4" applyFont="1" applyFill="1" applyBorder="1" applyAlignment="1">
      <alignment vertical="center"/>
    </xf>
    <xf numFmtId="0" fontId="31" fillId="0" borderId="70" xfId="4" applyFont="1" applyFill="1" applyBorder="1" applyAlignment="1">
      <alignment vertical="center" textRotation="90"/>
    </xf>
    <xf numFmtId="0" fontId="31" fillId="0" borderId="70" xfId="4" applyFont="1" applyBorder="1"/>
    <xf numFmtId="0" fontId="31" fillId="0" borderId="70" xfId="4" applyFont="1" applyBorder="1" applyAlignment="1">
      <alignment horizontal="right"/>
    </xf>
    <xf numFmtId="0" fontId="31" fillId="0" borderId="70" xfId="4" applyFont="1" applyFill="1" applyBorder="1" applyAlignment="1">
      <alignment horizontal="right"/>
    </xf>
    <xf numFmtId="0" fontId="31" fillId="0" borderId="70" xfId="4" applyFont="1" applyBorder="1" applyAlignment="1">
      <alignment vertical="center" textRotation="90"/>
    </xf>
    <xf numFmtId="0" fontId="31" fillId="0" borderId="70" xfId="4" applyFont="1" applyFill="1" applyBorder="1" applyAlignment="1">
      <alignment horizontal="left"/>
    </xf>
    <xf numFmtId="0" fontId="31" fillId="0" borderId="70" xfId="4" applyFont="1" applyBorder="1" applyAlignment="1">
      <alignment horizontal="center" vertical="center"/>
    </xf>
    <xf numFmtId="0" fontId="31" fillId="0" borderId="70" xfId="4" applyFont="1" applyFill="1" applyBorder="1" applyAlignment="1">
      <alignment horizontal="center" vertical="center"/>
    </xf>
    <xf numFmtId="0" fontId="24" fillId="2" borderId="41" xfId="0" applyFont="1" applyFill="1" applyBorder="1" applyAlignment="1">
      <alignment horizontal="justify" vertical="center" wrapText="1"/>
    </xf>
    <xf numFmtId="0" fontId="51" fillId="0" borderId="71" xfId="4" applyFont="1" applyBorder="1" applyAlignment="1">
      <alignment vertical="center"/>
    </xf>
    <xf numFmtId="0" fontId="31" fillId="0" borderId="72" xfId="4" applyFont="1" applyBorder="1" applyAlignment="1">
      <alignment vertical="center"/>
    </xf>
    <xf numFmtId="0" fontId="46" fillId="0" borderId="72" xfId="4" applyFont="1" applyBorder="1" applyAlignment="1">
      <alignment vertical="center"/>
    </xf>
    <xf numFmtId="0" fontId="31" fillId="0" borderId="73" xfId="4" applyFont="1" applyBorder="1" applyAlignment="1">
      <alignment vertical="center"/>
    </xf>
    <xf numFmtId="0" fontId="31" fillId="0" borderId="74" xfId="4" applyFont="1" applyBorder="1" applyAlignment="1">
      <alignment vertical="center"/>
    </xf>
    <xf numFmtId="0" fontId="31" fillId="0" borderId="39" xfId="4" applyFont="1" applyBorder="1" applyAlignment="1">
      <alignment vertical="center"/>
    </xf>
    <xf numFmtId="170" fontId="31" fillId="0" borderId="39" xfId="4" applyNumberFormat="1" applyFont="1" applyBorder="1" applyAlignment="1">
      <alignment vertical="center"/>
    </xf>
    <xf numFmtId="4" fontId="31" fillId="0" borderId="39" xfId="4" applyNumberFormat="1" applyFont="1" applyBorder="1" applyAlignment="1">
      <alignment vertical="center"/>
    </xf>
    <xf numFmtId="0" fontId="42" fillId="0" borderId="39" xfId="4" applyFont="1" applyBorder="1" applyAlignment="1">
      <alignment vertical="center"/>
    </xf>
    <xf numFmtId="3" fontId="31" fillId="0" borderId="39" xfId="4" applyNumberFormat="1" applyFont="1" applyBorder="1" applyAlignment="1">
      <alignment vertical="center"/>
    </xf>
    <xf numFmtId="170" fontId="31" fillId="0" borderId="39" xfId="4" applyNumberFormat="1" applyFont="1" applyBorder="1" applyAlignment="1">
      <alignment horizontal="left" vertical="center"/>
    </xf>
    <xf numFmtId="4" fontId="31" fillId="0" borderId="39" xfId="4" applyNumberFormat="1" applyFont="1" applyFill="1" applyBorder="1" applyAlignment="1">
      <alignment vertical="center"/>
    </xf>
    <xf numFmtId="0" fontId="49" fillId="0" borderId="39" xfId="4" applyFont="1" applyBorder="1" applyAlignment="1">
      <alignment vertical="center"/>
    </xf>
    <xf numFmtId="170" fontId="49" fillId="0" borderId="39" xfId="4" applyNumberFormat="1" applyFont="1" applyBorder="1" applyAlignment="1">
      <alignment vertical="center"/>
    </xf>
    <xf numFmtId="4" fontId="49" fillId="0" borderId="39" xfId="4" applyNumberFormat="1" applyFont="1" applyBorder="1" applyAlignment="1">
      <alignment vertical="center"/>
    </xf>
    <xf numFmtId="2" fontId="31" fillId="0" borderId="39" xfId="4" applyNumberFormat="1" applyFont="1" applyBorder="1" applyAlignment="1">
      <alignment vertical="center"/>
    </xf>
    <xf numFmtId="0" fontId="31" fillId="0" borderId="39" xfId="4" applyFont="1" applyBorder="1" applyAlignment="1">
      <alignment horizontal="left" vertical="center"/>
    </xf>
    <xf numFmtId="4" fontId="31" fillId="0" borderId="39" xfId="4" applyNumberFormat="1" applyFont="1" applyBorder="1" applyAlignment="1">
      <alignment horizontal="left" vertical="center"/>
    </xf>
    <xf numFmtId="2" fontId="31" fillId="0" borderId="39" xfId="4" applyNumberFormat="1" applyFont="1" applyBorder="1" applyAlignment="1">
      <alignment horizontal="left" vertical="center"/>
    </xf>
    <xf numFmtId="3" fontId="31" fillId="0" borderId="39" xfId="4" applyNumberFormat="1" applyFont="1" applyBorder="1" applyAlignment="1">
      <alignment horizontal="left" vertical="center"/>
    </xf>
    <xf numFmtId="0" fontId="31" fillId="0" borderId="76" xfId="4" applyFont="1" applyBorder="1" applyAlignment="1">
      <alignment vertical="center"/>
    </xf>
    <xf numFmtId="0" fontId="31" fillId="0" borderId="77" xfId="4" applyFont="1" applyBorder="1" applyAlignment="1">
      <alignment vertical="center"/>
    </xf>
    <xf numFmtId="0" fontId="31" fillId="0" borderId="78" xfId="4" applyFont="1" applyBorder="1" applyAlignment="1">
      <alignment vertical="center"/>
    </xf>
    <xf numFmtId="0" fontId="31" fillId="0" borderId="41" xfId="4" applyFont="1" applyBorder="1" applyAlignment="1">
      <alignment vertical="center"/>
    </xf>
    <xf numFmtId="4" fontId="31" fillId="0" borderId="41" xfId="4" applyNumberFormat="1" applyFont="1" applyBorder="1" applyAlignment="1">
      <alignment vertical="center"/>
    </xf>
    <xf numFmtId="3" fontId="31" fillId="0" borderId="41" xfId="4" applyNumberFormat="1" applyFont="1" applyBorder="1" applyAlignment="1">
      <alignment vertical="center"/>
    </xf>
    <xf numFmtId="0" fontId="49" fillId="2" borderId="54" xfId="4" applyFont="1" applyFill="1" applyBorder="1" applyAlignment="1">
      <alignment horizontal="left" vertical="top" wrapText="1"/>
    </xf>
    <xf numFmtId="0" fontId="49" fillId="2" borderId="59" xfId="4" applyFont="1" applyFill="1" applyBorder="1" applyAlignment="1">
      <alignment horizontal="left" vertical="top" wrapText="1"/>
    </xf>
    <xf numFmtId="0" fontId="31" fillId="2" borderId="51" xfId="4" applyFont="1" applyFill="1" applyBorder="1" applyAlignment="1">
      <alignment horizontal="right" vertical="center"/>
    </xf>
    <xf numFmtId="0" fontId="50" fillId="2" borderId="53" xfId="4" applyFont="1" applyFill="1" applyBorder="1" applyAlignment="1">
      <alignment horizontal="center" vertical="center" wrapText="1"/>
    </xf>
    <xf numFmtId="0" fontId="48" fillId="2" borderId="59" xfId="4" applyFont="1" applyFill="1" applyBorder="1" applyAlignment="1">
      <alignment vertical="center"/>
    </xf>
    <xf numFmtId="0" fontId="31" fillId="2" borderId="55" xfId="4" applyFont="1" applyFill="1" applyBorder="1" applyAlignment="1">
      <alignment horizontal="left" vertical="center"/>
    </xf>
    <xf numFmtId="0" fontId="18" fillId="2" borderId="80" xfId="0" applyFont="1" applyFill="1" applyBorder="1" applyAlignment="1">
      <alignment horizontal="left" vertical="center"/>
    </xf>
    <xf numFmtId="0" fontId="31" fillId="2" borderId="81" xfId="4" applyFont="1" applyFill="1" applyBorder="1"/>
    <xf numFmtId="0" fontId="24" fillId="5" borderId="63" xfId="0" applyFont="1" applyFill="1" applyBorder="1" applyAlignment="1">
      <alignment vertical="top"/>
    </xf>
    <xf numFmtId="0" fontId="24" fillId="5" borderId="84" xfId="0" applyFont="1" applyFill="1" applyBorder="1" applyAlignment="1">
      <alignment vertical="top"/>
    </xf>
    <xf numFmtId="0" fontId="31" fillId="2" borderId="63" xfId="4" applyFont="1" applyFill="1" applyBorder="1"/>
    <xf numFmtId="0" fontId="31" fillId="2" borderId="0" xfId="4" applyFont="1" applyFill="1" applyBorder="1"/>
    <xf numFmtId="0" fontId="46" fillId="2" borderId="0" xfId="4" applyFont="1" applyFill="1" applyBorder="1"/>
    <xf numFmtId="4" fontId="31" fillId="2" borderId="64" xfId="4" applyNumberFormat="1" applyFont="1" applyFill="1" applyBorder="1"/>
    <xf numFmtId="4" fontId="31" fillId="0" borderId="85" xfId="4" applyNumberFormat="1" applyFont="1" applyBorder="1" applyAlignment="1">
      <alignment vertical="center"/>
    </xf>
    <xf numFmtId="4" fontId="49" fillId="0" borderId="85" xfId="4" applyNumberFormat="1" applyFont="1" applyBorder="1" applyAlignment="1">
      <alignment vertical="center"/>
    </xf>
    <xf numFmtId="4" fontId="31" fillId="0" borderId="85" xfId="4" applyNumberFormat="1" applyFont="1" applyBorder="1" applyAlignment="1">
      <alignment horizontal="left" vertical="center"/>
    </xf>
    <xf numFmtId="4" fontId="50" fillId="0" borderId="85" xfId="4" applyNumberFormat="1" applyFont="1" applyBorder="1" applyAlignment="1">
      <alignment vertical="center"/>
    </xf>
    <xf numFmtId="0" fontId="49" fillId="2" borderId="87" xfId="4" applyFont="1" applyFill="1" applyBorder="1" applyAlignment="1">
      <alignment horizontal="left" vertical="top" wrapText="1"/>
    </xf>
    <xf numFmtId="4" fontId="50" fillId="2" borderId="88" xfId="4" applyNumberFormat="1" applyFont="1" applyFill="1" applyBorder="1" applyAlignment="1">
      <alignment vertical="center"/>
    </xf>
    <xf numFmtId="0" fontId="31" fillId="2" borderId="63" xfId="4" applyFont="1" applyFill="1" applyBorder="1" applyAlignment="1">
      <alignment horizontal="left" vertical="center"/>
    </xf>
    <xf numFmtId="4" fontId="31" fillId="2" borderId="64" xfId="4" applyNumberFormat="1" applyFont="1" applyFill="1" applyBorder="1" applyAlignment="1">
      <alignment vertical="center"/>
    </xf>
    <xf numFmtId="0" fontId="31" fillId="2" borderId="66" xfId="4" quotePrefix="1" applyFont="1" applyFill="1" applyBorder="1" applyAlignment="1">
      <alignment horizontal="left" vertical="center"/>
    </xf>
    <xf numFmtId="0" fontId="31" fillId="2" borderId="67" xfId="4" applyFont="1" applyFill="1" applyBorder="1" applyAlignment="1">
      <alignment vertical="center"/>
    </xf>
    <xf numFmtId="0" fontId="31" fillId="2" borderId="89" xfId="4" applyFont="1" applyFill="1" applyBorder="1" applyAlignment="1">
      <alignment horizontal="right" vertical="center"/>
    </xf>
    <xf numFmtId="0" fontId="31" fillId="2" borderId="90" xfId="4" applyFont="1" applyFill="1" applyBorder="1" applyAlignment="1">
      <alignment horizontal="left" vertical="center"/>
    </xf>
    <xf numFmtId="4" fontId="31" fillId="2" borderId="68" xfId="4" applyNumberFormat="1" applyFont="1" applyFill="1" applyBorder="1" applyAlignment="1">
      <alignment vertical="center"/>
    </xf>
    <xf numFmtId="0" fontId="31" fillId="0" borderId="40" xfId="4" applyFont="1" applyBorder="1" applyAlignment="1">
      <alignment vertical="center"/>
    </xf>
    <xf numFmtId="170" fontId="31" fillId="0" borderId="40" xfId="4" applyNumberFormat="1" applyFont="1" applyBorder="1" applyAlignment="1">
      <alignment vertical="center"/>
    </xf>
    <xf numFmtId="4" fontId="31" fillId="0" borderId="40" xfId="4" applyNumberFormat="1" applyFont="1" applyBorder="1" applyAlignment="1">
      <alignment vertical="center"/>
    </xf>
    <xf numFmtId="4" fontId="31" fillId="0" borderId="91" xfId="4" applyNumberFormat="1" applyFont="1" applyBorder="1" applyAlignment="1">
      <alignment vertical="center"/>
    </xf>
    <xf numFmtId="0" fontId="46" fillId="5" borderId="24" xfId="0" applyFont="1" applyFill="1" applyBorder="1" applyAlignment="1">
      <alignment horizontal="center" vertical="center"/>
    </xf>
    <xf numFmtId="0" fontId="26" fillId="2" borderId="46" xfId="0" applyFont="1" applyFill="1" applyBorder="1" applyAlignment="1">
      <alignment horizontal="left" vertical="center"/>
    </xf>
    <xf numFmtId="0" fontId="26" fillId="5" borderId="63" xfId="0" applyFont="1" applyFill="1" applyBorder="1" applyAlignment="1">
      <alignment vertical="top"/>
    </xf>
    <xf numFmtId="166" fontId="28" fillId="2" borderId="0" xfId="0" applyNumberFormat="1" applyFont="1" applyFill="1" applyAlignment="1">
      <alignment horizontal="justify" vertical="top" wrapText="1"/>
    </xf>
    <xf numFmtId="0" fontId="31" fillId="2" borderId="0" xfId="4" applyFont="1" applyFill="1" applyBorder="1" applyAlignment="1">
      <alignment horizontal="left" vertical="center"/>
    </xf>
    <xf numFmtId="0" fontId="31" fillId="2" borderId="67" xfId="4" applyFont="1" applyFill="1" applyBorder="1" applyAlignment="1">
      <alignment horizontal="left" vertical="center"/>
    </xf>
    <xf numFmtId="0" fontId="31" fillId="0" borderId="70" xfId="4" applyFont="1" applyFill="1" applyBorder="1" applyAlignment="1">
      <alignment horizontal="center" vertical="center"/>
    </xf>
    <xf numFmtId="0" fontId="24" fillId="18" borderId="41" xfId="0" applyFont="1" applyFill="1" applyBorder="1" applyAlignment="1">
      <alignment horizontal="justify" vertical="center" wrapText="1"/>
    </xf>
    <xf numFmtId="0" fontId="24" fillId="18" borderId="41" xfId="0" applyFont="1" applyFill="1" applyBorder="1" applyAlignment="1">
      <alignment horizontal="center" vertical="center" wrapText="1"/>
    </xf>
    <xf numFmtId="4" fontId="24" fillId="18" borderId="41" xfId="0" applyNumberFormat="1" applyFont="1" applyFill="1" applyBorder="1" applyAlignment="1">
      <alignment horizontal="right" vertical="center" wrapText="1"/>
    </xf>
    <xf numFmtId="4" fontId="24" fillId="18" borderId="41" xfId="0" applyNumberFormat="1" applyFont="1" applyFill="1" applyBorder="1" applyAlignment="1">
      <alignment vertical="center"/>
    </xf>
    <xf numFmtId="4" fontId="24" fillId="18" borderId="39" xfId="0" applyNumberFormat="1" applyFont="1" applyFill="1" applyBorder="1" applyAlignment="1">
      <alignment vertical="center"/>
    </xf>
    <xf numFmtId="167" fontId="32" fillId="18" borderId="56" xfId="2" applyNumberFormat="1" applyFont="1" applyFill="1" applyBorder="1" applyAlignment="1" applyProtection="1">
      <alignment vertical="center"/>
      <protection locked="0"/>
    </xf>
    <xf numFmtId="167" fontId="32" fillId="18" borderId="60" xfId="2" applyNumberFormat="1" applyFont="1" applyFill="1" applyBorder="1" applyAlignment="1" applyProtection="1">
      <alignment vertical="center"/>
      <protection locked="0"/>
    </xf>
    <xf numFmtId="4" fontId="24" fillId="18" borderId="43" xfId="0" applyNumberFormat="1" applyFont="1" applyFill="1" applyBorder="1" applyAlignment="1">
      <alignment horizontal="right" vertical="center" wrapText="1"/>
    </xf>
    <xf numFmtId="4" fontId="25" fillId="18" borderId="44" xfId="0" applyNumberFormat="1" applyFont="1" applyFill="1" applyBorder="1" applyAlignment="1">
      <alignment horizontal="right" vertical="center" wrapText="1"/>
    </xf>
    <xf numFmtId="4" fontId="24" fillId="18" borderId="42" xfId="0" applyNumberFormat="1" applyFont="1" applyFill="1" applyBorder="1" applyAlignment="1">
      <alignment vertical="center"/>
    </xf>
    <xf numFmtId="0" fontId="24" fillId="18" borderId="40" xfId="0" applyNumberFormat="1" applyFont="1" applyFill="1" applyBorder="1" applyAlignment="1" applyProtection="1">
      <alignment horizontal="left" vertical="top" wrapText="1" indent="2"/>
      <protection locked="0"/>
    </xf>
    <xf numFmtId="0" fontId="24" fillId="18" borderId="40" xfId="0" applyNumberFormat="1" applyFont="1" applyFill="1" applyBorder="1" applyAlignment="1" applyProtection="1">
      <alignment horizontal="center" vertical="top" wrapText="1"/>
      <protection locked="0"/>
    </xf>
    <xf numFmtId="169" fontId="24" fillId="18" borderId="40" xfId="0" applyNumberFormat="1" applyFont="1" applyFill="1" applyBorder="1" applyAlignment="1">
      <alignment horizontal="right" vertical="center" wrapText="1"/>
    </xf>
    <xf numFmtId="4" fontId="24" fillId="18" borderId="40" xfId="0" applyNumberFormat="1" applyFont="1" applyFill="1" applyBorder="1" applyAlignment="1">
      <alignment horizontal="right" vertical="center" wrapText="1"/>
    </xf>
    <xf numFmtId="4" fontId="24" fillId="18" borderId="40" xfId="0" applyNumberFormat="1" applyFont="1" applyFill="1" applyBorder="1" applyAlignment="1">
      <alignment vertical="center"/>
    </xf>
    <xf numFmtId="0" fontId="24" fillId="18" borderId="39" xfId="0" applyNumberFormat="1" applyFont="1" applyFill="1" applyBorder="1" applyAlignment="1" applyProtection="1">
      <alignment horizontal="left" vertical="top" wrapText="1" indent="2"/>
      <protection locked="0"/>
    </xf>
    <xf numFmtId="0" fontId="24" fillId="18" borderId="39" xfId="0" applyNumberFormat="1" applyFont="1" applyFill="1" applyBorder="1" applyAlignment="1" applyProtection="1">
      <alignment horizontal="center" vertical="top" wrapText="1"/>
      <protection locked="0"/>
    </xf>
    <xf numFmtId="169" fontId="24" fillId="18" borderId="39" xfId="0" applyNumberFormat="1" applyFont="1" applyFill="1" applyBorder="1" applyAlignment="1">
      <alignment horizontal="right" vertical="center" wrapText="1"/>
    </xf>
    <xf numFmtId="4" fontId="24" fillId="18" borderId="39" xfId="0" applyNumberFormat="1" applyFont="1" applyFill="1" applyBorder="1" applyAlignment="1">
      <alignment horizontal="right" vertical="center" wrapText="1"/>
    </xf>
    <xf numFmtId="0" fontId="24" fillId="18" borderId="41" xfId="0" applyNumberFormat="1" applyFont="1" applyFill="1" applyBorder="1" applyAlignment="1" applyProtection="1">
      <alignment horizontal="left" vertical="top" wrapText="1" indent="2"/>
      <protection locked="0"/>
    </xf>
    <xf numFmtId="0" fontId="24" fillId="18" borderId="41" xfId="0" applyNumberFormat="1" applyFont="1" applyFill="1" applyBorder="1" applyAlignment="1" applyProtection="1">
      <alignment horizontal="center" vertical="top" wrapText="1"/>
      <protection locked="0"/>
    </xf>
    <xf numFmtId="0" fontId="24" fillId="0" borderId="0" xfId="0" applyFont="1" applyFill="1" applyBorder="1" applyAlignment="1">
      <alignment horizontal="justify" vertical="center" wrapText="1"/>
    </xf>
    <xf numFmtId="0" fontId="24" fillId="0" borderId="51" xfId="0" applyFont="1" applyFill="1" applyBorder="1" applyAlignment="1">
      <alignment horizontal="center" vertical="center" wrapText="1"/>
    </xf>
    <xf numFmtId="4" fontId="24" fillId="0" borderId="45" xfId="0" applyNumberFormat="1" applyFont="1" applyFill="1" applyBorder="1" applyAlignment="1">
      <alignment horizontal="right" vertical="center" wrapText="1"/>
    </xf>
    <xf numFmtId="4" fontId="24" fillId="0" borderId="55" xfId="0" applyNumberFormat="1" applyFont="1" applyFill="1" applyBorder="1" applyAlignment="1">
      <alignment horizontal="right" vertical="center" wrapText="1"/>
    </xf>
    <xf numFmtId="4" fontId="24" fillId="0" borderId="51" xfId="0" applyNumberFormat="1" applyFont="1" applyFill="1" applyBorder="1" applyAlignment="1">
      <alignment vertical="center"/>
    </xf>
    <xf numFmtId="4" fontId="24" fillId="0" borderId="55" xfId="0" applyNumberFormat="1" applyFont="1" applyFill="1" applyBorder="1" applyAlignment="1">
      <alignment vertical="center"/>
    </xf>
    <xf numFmtId="0" fontId="52" fillId="2" borderId="67" xfId="4" applyFont="1" applyFill="1" applyBorder="1" applyAlignment="1">
      <alignment vertical="center"/>
    </xf>
    <xf numFmtId="170" fontId="42" fillId="0" borderId="40" xfId="4" applyNumberFormat="1" applyFont="1" applyBorder="1" applyAlignment="1">
      <alignment vertical="center"/>
    </xf>
    <xf numFmtId="4" fontId="42" fillId="0" borderId="40" xfId="4" applyNumberFormat="1" applyFont="1" applyBorder="1" applyAlignment="1">
      <alignment vertical="center"/>
    </xf>
    <xf numFmtId="170" fontId="42" fillId="0" borderId="39" xfId="4" applyNumberFormat="1" applyFont="1" applyBorder="1" applyAlignment="1">
      <alignment vertical="center"/>
    </xf>
    <xf numFmtId="4" fontId="42" fillId="0" borderId="39" xfId="4" applyNumberFormat="1" applyFont="1" applyBorder="1" applyAlignment="1">
      <alignment vertical="center"/>
    </xf>
    <xf numFmtId="170" fontId="42" fillId="0" borderId="39" xfId="4" applyNumberFormat="1" applyFont="1" applyBorder="1" applyAlignment="1">
      <alignment horizontal="left" vertical="center"/>
    </xf>
    <xf numFmtId="4" fontId="42" fillId="0" borderId="39" xfId="4" applyNumberFormat="1" applyFont="1" applyFill="1" applyBorder="1" applyAlignment="1">
      <alignment vertical="center"/>
    </xf>
    <xf numFmtId="2" fontId="42" fillId="0" borderId="39" xfId="4" applyNumberFormat="1" applyFont="1" applyBorder="1" applyAlignment="1">
      <alignment vertical="center"/>
    </xf>
    <xf numFmtId="4" fontId="42" fillId="0" borderId="39" xfId="4" applyNumberFormat="1" applyFont="1" applyBorder="1" applyAlignment="1">
      <alignment horizontal="left" vertical="center"/>
    </xf>
    <xf numFmtId="170" fontId="42" fillId="0" borderId="39" xfId="4" applyNumberFormat="1" applyFont="1" applyBorder="1" applyAlignment="1">
      <alignment horizontal="right" vertical="center"/>
    </xf>
    <xf numFmtId="4" fontId="42" fillId="0" borderId="39" xfId="4" applyNumberFormat="1" applyFont="1" applyBorder="1" applyAlignment="1">
      <alignment horizontal="right" vertical="center"/>
    </xf>
    <xf numFmtId="0" fontId="32" fillId="0" borderId="40" xfId="4" applyFont="1" applyBorder="1" applyAlignment="1">
      <alignment vertical="center"/>
    </xf>
    <xf numFmtId="0" fontId="32" fillId="0" borderId="39" xfId="4" applyFont="1" applyBorder="1" applyAlignment="1">
      <alignment vertical="center"/>
    </xf>
    <xf numFmtId="0" fontId="32" fillId="0" borderId="39" xfId="4" applyFont="1" applyBorder="1" applyAlignment="1">
      <alignment horizontal="left" vertical="center"/>
    </xf>
    <xf numFmtId="2" fontId="42" fillId="0" borderId="39" xfId="4" applyNumberFormat="1" applyFont="1" applyBorder="1" applyAlignment="1">
      <alignment horizontal="right" vertical="center"/>
    </xf>
    <xf numFmtId="0" fontId="9" fillId="2" borderId="0" xfId="0" applyFont="1" applyFill="1"/>
    <xf numFmtId="166" fontId="9" fillId="2" borderId="0" xfId="0" applyNumberFormat="1" applyFont="1" applyFill="1" applyAlignment="1"/>
    <xf numFmtId="0" fontId="25" fillId="5" borderId="39" xfId="0" applyFont="1" applyFill="1" applyBorder="1" applyAlignment="1">
      <alignment horizontal="center" vertical="center"/>
    </xf>
    <xf numFmtId="0" fontId="32" fillId="14" borderId="39" xfId="0" applyFont="1" applyFill="1" applyBorder="1" applyAlignment="1">
      <alignment horizontal="center" vertical="center"/>
    </xf>
    <xf numFmtId="0" fontId="25" fillId="5" borderId="39" xfId="0" applyFont="1" applyFill="1" applyBorder="1" applyAlignment="1">
      <alignment horizontal="center" vertical="center"/>
    </xf>
    <xf numFmtId="0" fontId="32" fillId="14" borderId="39" xfId="0" applyFont="1" applyFill="1" applyBorder="1" applyAlignment="1">
      <alignment horizontal="center" vertical="center"/>
    </xf>
    <xf numFmtId="4" fontId="24" fillId="0" borderId="0" xfId="0" applyNumberFormat="1" applyFont="1" applyAlignment="1">
      <alignment vertical="center"/>
    </xf>
    <xf numFmtId="0" fontId="31" fillId="0" borderId="39" xfId="4" applyFont="1" applyBorder="1" applyAlignment="1">
      <alignment vertical="center"/>
    </xf>
    <xf numFmtId="0" fontId="31" fillId="0" borderId="70" xfId="4" applyFont="1" applyFill="1" applyBorder="1" applyAlignment="1">
      <alignment horizontal="center" vertical="center"/>
    </xf>
    <xf numFmtId="0" fontId="53" fillId="2" borderId="0" xfId="0" applyFont="1" applyFill="1" applyAlignment="1">
      <alignment horizontal="right"/>
    </xf>
    <xf numFmtId="0" fontId="53" fillId="2" borderId="0" xfId="0" applyFont="1" applyFill="1"/>
    <xf numFmtId="166" fontId="53" fillId="2" borderId="0" xfId="0" applyNumberFormat="1" applyFont="1" applyFill="1" applyBorder="1" applyAlignment="1" applyProtection="1">
      <alignment horizontal="center" vertical="center"/>
      <protection hidden="1"/>
    </xf>
    <xf numFmtId="0" fontId="54" fillId="0" borderId="0" xfId="0" applyFont="1" applyProtection="1">
      <protection hidden="1"/>
    </xf>
    <xf numFmtId="0" fontId="28" fillId="2" borderId="0" xfId="0" applyFont="1" applyFill="1" applyProtection="1"/>
    <xf numFmtId="0" fontId="17" fillId="0" borderId="0" xfId="0" applyFont="1" applyProtection="1"/>
    <xf numFmtId="0" fontId="55" fillId="0" borderId="0" xfId="0" applyFont="1" applyFill="1" applyAlignment="1">
      <alignment vertical="center"/>
    </xf>
    <xf numFmtId="0" fontId="55" fillId="0" borderId="0" xfId="0" applyFont="1" applyFill="1"/>
    <xf numFmtId="0" fontId="17" fillId="16" borderId="0" xfId="0" applyFont="1" applyFill="1" applyProtection="1"/>
    <xf numFmtId="167" fontId="32" fillId="16" borderId="42" xfId="2" applyNumberFormat="1" applyFont="1" applyFill="1" applyBorder="1" applyAlignment="1" applyProtection="1">
      <alignment vertical="center"/>
    </xf>
    <xf numFmtId="167" fontId="32" fillId="16" borderId="43" xfId="2" applyNumberFormat="1" applyFont="1" applyFill="1" applyBorder="1" applyAlignment="1" applyProtection="1">
      <alignment vertical="center"/>
    </xf>
    <xf numFmtId="4" fontId="26" fillId="16" borderId="43" xfId="0" applyNumberFormat="1" applyFont="1" applyFill="1" applyBorder="1" applyAlignment="1" applyProtection="1">
      <alignment horizontal="right"/>
    </xf>
    <xf numFmtId="168" fontId="24" fillId="16" borderId="40" xfId="1" applyNumberFormat="1" applyFont="1" applyFill="1" applyBorder="1" applyAlignment="1" applyProtection="1">
      <alignment horizontal="center"/>
    </xf>
    <xf numFmtId="4" fontId="26" fillId="16" borderId="40" xfId="0" applyNumberFormat="1" applyFont="1" applyFill="1" applyBorder="1" applyAlignment="1" applyProtection="1">
      <alignment horizontal="left"/>
    </xf>
    <xf numFmtId="168" fontId="24" fillId="16" borderId="39" xfId="1" applyNumberFormat="1" applyFont="1" applyFill="1" applyBorder="1" applyAlignment="1" applyProtection="1">
      <alignment horizontal="center"/>
    </xf>
    <xf numFmtId="4" fontId="26" fillId="16" borderId="39" xfId="0" applyNumberFormat="1" applyFont="1" applyFill="1" applyBorder="1" applyAlignment="1" applyProtection="1">
      <alignment horizontal="left"/>
    </xf>
    <xf numFmtId="168" fontId="24" fillId="16" borderId="41" xfId="1" applyNumberFormat="1" applyFont="1" applyFill="1" applyBorder="1" applyAlignment="1" applyProtection="1">
      <alignment horizontal="center"/>
    </xf>
    <xf numFmtId="4" fontId="26" fillId="16" borderId="41" xfId="0" applyNumberFormat="1" applyFont="1" applyFill="1" applyBorder="1" applyAlignment="1" applyProtection="1">
      <alignment horizontal="left"/>
    </xf>
    <xf numFmtId="0" fontId="17" fillId="16" borderId="45" xfId="0" applyFont="1" applyFill="1" applyBorder="1" applyProtection="1"/>
    <xf numFmtId="4" fontId="26" fillId="16" borderId="45" xfId="0" applyNumberFormat="1" applyFont="1" applyFill="1" applyBorder="1" applyAlignment="1" applyProtection="1">
      <alignment horizontal="right"/>
    </xf>
    <xf numFmtId="0" fontId="24" fillId="16" borderId="39" xfId="0" applyNumberFormat="1" applyFont="1" applyFill="1" applyBorder="1" applyAlignment="1" applyProtection="1">
      <alignment horizontal="center" vertical="center"/>
    </xf>
    <xf numFmtId="0" fontId="24" fillId="16" borderId="41" xfId="0" applyNumberFormat="1" applyFont="1" applyFill="1" applyBorder="1" applyAlignment="1" applyProtection="1">
      <alignment horizontal="center" vertical="center"/>
    </xf>
    <xf numFmtId="0" fontId="24" fillId="16" borderId="39" xfId="0" applyNumberFormat="1" applyFont="1" applyFill="1" applyBorder="1" applyAlignment="1" applyProtection="1">
      <alignment horizontal="left" vertical="top" wrapText="1"/>
    </xf>
    <xf numFmtId="4" fontId="26" fillId="16" borderId="39" xfId="0" applyNumberFormat="1" applyFont="1" applyFill="1" applyBorder="1" applyAlignment="1" applyProtection="1">
      <alignment horizontal="right"/>
    </xf>
    <xf numFmtId="0" fontId="17" fillId="16" borderId="0" xfId="0" applyFont="1" applyFill="1" applyBorder="1" applyProtection="1"/>
    <xf numFmtId="167" fontId="32" fillId="0" borderId="51" xfId="2" applyNumberFormat="1" applyFont="1" applyFill="1" applyBorder="1" applyAlignment="1" applyProtection="1">
      <alignment vertical="center"/>
    </xf>
    <xf numFmtId="167" fontId="32" fillId="0" borderId="43" xfId="2" applyNumberFormat="1" applyFont="1" applyFill="1" applyBorder="1" applyAlignment="1" applyProtection="1">
      <alignment vertical="center"/>
    </xf>
    <xf numFmtId="4" fontId="26" fillId="0" borderId="43" xfId="0" applyNumberFormat="1" applyFont="1" applyBorder="1" applyAlignment="1" applyProtection="1">
      <alignment horizontal="right"/>
    </xf>
    <xf numFmtId="0" fontId="17" fillId="0" borderId="0" xfId="0" applyFont="1" applyBorder="1" applyProtection="1"/>
    <xf numFmtId="167" fontId="32" fillId="6" borderId="42" xfId="2" applyNumberFormat="1" applyFont="1" applyFill="1" applyBorder="1" applyAlignment="1" applyProtection="1">
      <alignment vertical="center"/>
    </xf>
    <xf numFmtId="167" fontId="32" fillId="6" borderId="43" xfId="2" applyNumberFormat="1" applyFont="1" applyFill="1" applyBorder="1" applyAlignment="1" applyProtection="1">
      <alignment vertical="center"/>
    </xf>
    <xf numFmtId="4" fontId="26" fillId="6" borderId="43" xfId="0" applyNumberFormat="1" applyFont="1" applyFill="1" applyBorder="1" applyAlignment="1" applyProtection="1">
      <alignment horizontal="right"/>
    </xf>
    <xf numFmtId="167" fontId="32" fillId="18" borderId="56" xfId="2" applyNumberFormat="1" applyFont="1" applyFill="1" applyBorder="1" applyAlignment="1" applyProtection="1">
      <alignment vertical="center"/>
    </xf>
    <xf numFmtId="167" fontId="32" fillId="18" borderId="60" xfId="2" applyNumberFormat="1" applyFont="1" applyFill="1" applyBorder="1" applyAlignment="1" applyProtection="1">
      <alignment vertical="center"/>
    </xf>
    <xf numFmtId="4" fontId="24" fillId="18" borderId="43" xfId="0" applyNumberFormat="1" applyFont="1" applyFill="1" applyBorder="1" applyAlignment="1" applyProtection="1">
      <alignment horizontal="right" vertical="center" wrapText="1"/>
    </xf>
    <xf numFmtId="4" fontId="25" fillId="18" borderId="44" xfId="0" applyNumberFormat="1" applyFont="1" applyFill="1" applyBorder="1" applyAlignment="1" applyProtection="1">
      <alignment horizontal="right" vertical="center" wrapText="1"/>
    </xf>
    <xf numFmtId="4" fontId="24" fillId="18" borderId="42" xfId="0" applyNumberFormat="1" applyFont="1" applyFill="1" applyBorder="1" applyAlignment="1" applyProtection="1">
      <alignment vertical="center"/>
    </xf>
    <xf numFmtId="0" fontId="24" fillId="18" borderId="40" xfId="0" applyNumberFormat="1" applyFont="1" applyFill="1" applyBorder="1" applyAlignment="1" applyProtection="1">
      <alignment horizontal="left" vertical="top" wrapText="1" indent="2"/>
    </xf>
    <xf numFmtId="0" fontId="24" fillId="18" borderId="40" xfId="0" applyNumberFormat="1" applyFont="1" applyFill="1" applyBorder="1" applyAlignment="1" applyProtection="1">
      <alignment horizontal="center" vertical="top" wrapText="1"/>
    </xf>
    <xf numFmtId="169" fontId="24" fillId="18" borderId="40" xfId="0" applyNumberFormat="1" applyFont="1" applyFill="1" applyBorder="1" applyAlignment="1" applyProtection="1">
      <alignment horizontal="right" vertical="center" wrapText="1"/>
    </xf>
    <xf numFmtId="4" fontId="24" fillId="18" borderId="40" xfId="0" applyNumberFormat="1" applyFont="1" applyFill="1" applyBorder="1" applyAlignment="1" applyProtection="1">
      <alignment horizontal="right" vertical="center" wrapText="1"/>
    </xf>
    <xf numFmtId="4" fontId="24" fillId="18" borderId="40" xfId="0" applyNumberFormat="1" applyFont="1" applyFill="1" applyBorder="1" applyAlignment="1" applyProtection="1">
      <alignment vertical="center"/>
    </xf>
    <xf numFmtId="0" fontId="24" fillId="18" borderId="39" xfId="0" applyNumberFormat="1" applyFont="1" applyFill="1" applyBorder="1" applyAlignment="1" applyProtection="1">
      <alignment horizontal="left" vertical="top" wrapText="1" indent="2"/>
    </xf>
    <xf numFmtId="0" fontId="24" fillId="18" borderId="39" xfId="0" applyNumberFormat="1" applyFont="1" applyFill="1" applyBorder="1" applyAlignment="1" applyProtection="1">
      <alignment horizontal="center" vertical="top" wrapText="1"/>
    </xf>
    <xf numFmtId="169" fontId="24" fillId="18" borderId="39" xfId="0" applyNumberFormat="1" applyFont="1" applyFill="1" applyBorder="1" applyAlignment="1" applyProtection="1">
      <alignment horizontal="right" vertical="center" wrapText="1"/>
    </xf>
    <xf numFmtId="4" fontId="24" fillId="18" borderId="39" xfId="0" applyNumberFormat="1" applyFont="1" applyFill="1" applyBorder="1" applyAlignment="1" applyProtection="1">
      <alignment horizontal="right" vertical="center" wrapText="1"/>
    </xf>
    <xf numFmtId="4" fontId="24" fillId="18" borderId="39" xfId="0" applyNumberFormat="1" applyFont="1" applyFill="1" applyBorder="1" applyAlignment="1" applyProtection="1">
      <alignment vertical="center"/>
    </xf>
    <xf numFmtId="0" fontId="24" fillId="18" borderId="41" xfId="0" applyNumberFormat="1" applyFont="1" applyFill="1" applyBorder="1" applyAlignment="1" applyProtection="1">
      <alignment horizontal="left" vertical="top" wrapText="1" indent="2"/>
    </xf>
    <xf numFmtId="0" fontId="24" fillId="18" borderId="41" xfId="0" applyNumberFormat="1" applyFont="1" applyFill="1" applyBorder="1" applyAlignment="1" applyProtection="1">
      <alignment horizontal="center" vertical="top" wrapText="1"/>
    </xf>
    <xf numFmtId="4" fontId="24" fillId="2" borderId="39" xfId="0" applyNumberFormat="1" applyFont="1" applyFill="1" applyBorder="1" applyAlignment="1" applyProtection="1">
      <alignment horizontal="left" vertical="center" wrapText="1"/>
    </xf>
    <xf numFmtId="4" fontId="24" fillId="2" borderId="39" xfId="0" applyNumberFormat="1" applyFont="1" applyFill="1" applyBorder="1" applyAlignment="1" applyProtection="1">
      <alignment horizontal="right" vertical="center" wrapText="1"/>
    </xf>
    <xf numFmtId="4" fontId="24" fillId="2" borderId="41" xfId="0" applyNumberFormat="1" applyFont="1" applyFill="1" applyBorder="1" applyAlignment="1" applyProtection="1">
      <alignment vertical="center"/>
    </xf>
    <xf numFmtId="167" fontId="32" fillId="5" borderId="56" xfId="2" applyNumberFormat="1" applyFont="1" applyFill="1" applyBorder="1" applyAlignment="1" applyProtection="1">
      <alignment vertical="center"/>
    </xf>
    <xf numFmtId="167" fontId="32" fillId="5" borderId="60" xfId="2" applyNumberFormat="1" applyFont="1" applyFill="1" applyBorder="1" applyAlignment="1" applyProtection="1">
      <alignment vertical="center"/>
    </xf>
    <xf numFmtId="4" fontId="24" fillId="5" borderId="43" xfId="0" applyNumberFormat="1" applyFont="1" applyFill="1" applyBorder="1" applyAlignment="1" applyProtection="1">
      <alignment horizontal="right" vertical="center" wrapText="1"/>
    </xf>
    <xf numFmtId="4" fontId="25" fillId="5" borderId="44" xfId="0" applyNumberFormat="1" applyFont="1" applyFill="1" applyBorder="1" applyAlignment="1" applyProtection="1">
      <alignment horizontal="right" vertical="center" wrapText="1"/>
    </xf>
    <xf numFmtId="4" fontId="42" fillId="15" borderId="42" xfId="0" applyNumberFormat="1" applyFont="1" applyFill="1" applyBorder="1" applyAlignment="1" applyProtection="1">
      <alignment vertical="center"/>
    </xf>
    <xf numFmtId="4" fontId="25" fillId="15" borderId="44" xfId="0" applyNumberFormat="1" applyFont="1" applyFill="1" applyBorder="1" applyAlignment="1" applyProtection="1">
      <alignment horizontal="right" vertical="center" wrapText="1"/>
    </xf>
    <xf numFmtId="4" fontId="24" fillId="15" borderId="42" xfId="0" applyNumberFormat="1" applyFont="1" applyFill="1" applyBorder="1" applyAlignment="1" applyProtection="1">
      <alignment vertical="center"/>
    </xf>
    <xf numFmtId="4" fontId="24" fillId="14" borderId="42" xfId="0" applyNumberFormat="1" applyFont="1" applyFill="1" applyBorder="1" applyAlignment="1" applyProtection="1">
      <alignment vertical="center"/>
    </xf>
    <xf numFmtId="4" fontId="25" fillId="14" borderId="44" xfId="0" applyNumberFormat="1" applyFont="1" applyFill="1" applyBorder="1" applyAlignment="1" applyProtection="1">
      <alignment horizontal="right" vertical="center" wrapText="1"/>
    </xf>
    <xf numFmtId="0" fontId="2" fillId="3" borderId="0" xfId="0" applyFont="1" applyFill="1" applyProtection="1">
      <protection locked="0"/>
    </xf>
    <xf numFmtId="0" fontId="2" fillId="3" borderId="16" xfId="0" applyFont="1" applyFill="1" applyBorder="1" applyProtection="1">
      <protection locked="0"/>
    </xf>
    <xf numFmtId="0" fontId="5" fillId="3" borderId="0" xfId="0" applyFont="1" applyFill="1" applyBorder="1" applyProtection="1">
      <protection locked="0"/>
    </xf>
    <xf numFmtId="0" fontId="2" fillId="3" borderId="17" xfId="0" applyFont="1" applyFill="1" applyBorder="1" applyProtection="1">
      <protection locked="0"/>
    </xf>
    <xf numFmtId="0" fontId="9" fillId="2" borderId="0" xfId="0" applyFont="1" applyFill="1" applyProtection="1">
      <protection locked="0"/>
    </xf>
    <xf numFmtId="0" fontId="2" fillId="2" borderId="0" xfId="0" applyFont="1" applyFill="1" applyProtection="1">
      <protection locked="0"/>
    </xf>
    <xf numFmtId="0" fontId="57" fillId="0" borderId="0" xfId="0" applyFont="1" applyFill="1"/>
    <xf numFmtId="0" fontId="57" fillId="0" borderId="0" xfId="0" applyFont="1"/>
    <xf numFmtId="14" fontId="18" fillId="0" borderId="39" xfId="0" applyNumberFormat="1" applyFont="1" applyBorder="1" applyAlignment="1">
      <alignment horizontal="center" vertical="center"/>
    </xf>
    <xf numFmtId="0" fontId="1" fillId="3" borderId="99" xfId="0" applyFont="1" applyFill="1" applyBorder="1" applyAlignment="1" applyProtection="1">
      <alignment horizontal="center" vertical="center"/>
      <protection locked="0"/>
    </xf>
    <xf numFmtId="0" fontId="1" fillId="3" borderId="103" xfId="0" applyFont="1" applyFill="1" applyBorder="1" applyAlignment="1" applyProtection="1">
      <alignment horizontal="center" vertical="center"/>
      <protection locked="0"/>
    </xf>
    <xf numFmtId="0" fontId="29" fillId="2" borderId="24" xfId="0" applyFont="1" applyFill="1" applyBorder="1" applyAlignment="1">
      <alignment horizontal="center" vertical="center"/>
    </xf>
    <xf numFmtId="166" fontId="28" fillId="2" borderId="0" xfId="0" applyNumberFormat="1" applyFont="1" applyFill="1" applyAlignment="1">
      <alignment horizontal="justify" vertical="top" wrapText="1"/>
    </xf>
    <xf numFmtId="0" fontId="19" fillId="2" borderId="0" xfId="0" applyFont="1" applyFill="1" applyBorder="1" applyAlignment="1">
      <alignment horizontal="center" vertical="center"/>
    </xf>
    <xf numFmtId="0" fontId="29" fillId="2" borderId="0" xfId="0" applyFont="1" applyFill="1" applyAlignment="1">
      <alignment horizontal="center" vertical="center"/>
    </xf>
    <xf numFmtId="0" fontId="28" fillId="2" borderId="0" xfId="0" applyFont="1" applyFill="1" applyAlignment="1">
      <alignment horizontal="center" vertical="center"/>
    </xf>
    <xf numFmtId="0" fontId="58" fillId="0" borderId="0" xfId="0" applyFont="1"/>
    <xf numFmtId="4" fontId="25" fillId="18" borderId="57" xfId="0" applyNumberFormat="1" applyFont="1" applyFill="1" applyBorder="1" applyAlignment="1" applyProtection="1">
      <alignment horizontal="right" vertical="center" wrapText="1"/>
    </xf>
    <xf numFmtId="4" fontId="24" fillId="2" borderId="41" xfId="0" applyNumberFormat="1" applyFont="1" applyFill="1" applyBorder="1" applyAlignment="1" applyProtection="1">
      <alignment horizontal="right" vertical="center" wrapText="1"/>
    </xf>
    <xf numFmtId="4" fontId="25" fillId="5" borderId="57" xfId="0" applyNumberFormat="1" applyFont="1" applyFill="1" applyBorder="1" applyAlignment="1" applyProtection="1">
      <alignment horizontal="right" vertical="center" wrapText="1"/>
    </xf>
    <xf numFmtId="0" fontId="25" fillId="15" borderId="46" xfId="0" applyFont="1" applyFill="1" applyBorder="1" applyAlignment="1">
      <alignment vertical="center"/>
    </xf>
    <xf numFmtId="0" fontId="31" fillId="19" borderId="30" xfId="4" applyFill="1" applyBorder="1"/>
    <xf numFmtId="0" fontId="31" fillId="19" borderId="0" xfId="4" applyFill="1" applyBorder="1"/>
    <xf numFmtId="0" fontId="31" fillId="19" borderId="0" xfId="4" applyFill="1" applyBorder="1" applyAlignment="1">
      <alignment horizontal="center"/>
    </xf>
    <xf numFmtId="0" fontId="31" fillId="19" borderId="28" xfId="4" applyFill="1" applyBorder="1"/>
    <xf numFmtId="0" fontId="31" fillId="17" borderId="26" xfId="4" applyFill="1" applyBorder="1"/>
    <xf numFmtId="0" fontId="59" fillId="19" borderId="24" xfId="4" applyFont="1" applyFill="1" applyBorder="1" applyAlignment="1">
      <alignment horizontal="center" vertical="center" wrapText="1"/>
    </xf>
    <xf numFmtId="0" fontId="31" fillId="19" borderId="0" xfId="4" applyFill="1"/>
    <xf numFmtId="14" fontId="59" fillId="19" borderId="24" xfId="4" applyNumberFormat="1" applyFont="1" applyFill="1" applyBorder="1" applyAlignment="1">
      <alignment horizontal="center" vertical="center" wrapText="1"/>
    </xf>
    <xf numFmtId="0" fontId="47" fillId="19" borderId="31" xfId="4" applyFont="1" applyFill="1" applyBorder="1" applyAlignment="1">
      <alignment horizontal="center" vertical="center" wrapText="1"/>
    </xf>
    <xf numFmtId="0" fontId="49" fillId="19" borderId="0" xfId="4" applyFont="1" applyFill="1" applyAlignment="1">
      <alignment vertical="center"/>
    </xf>
    <xf numFmtId="0" fontId="31" fillId="19" borderId="31" xfId="4" applyFont="1" applyFill="1" applyBorder="1" applyAlignment="1">
      <alignment vertical="center"/>
    </xf>
    <xf numFmtId="0" fontId="31" fillId="19" borderId="32" xfId="4" applyFont="1" applyFill="1" applyBorder="1" applyAlignment="1">
      <alignment vertical="center"/>
    </xf>
    <xf numFmtId="0" fontId="31" fillId="19" borderId="25" xfId="4" applyFont="1" applyFill="1" applyBorder="1" applyAlignment="1">
      <alignment vertical="center"/>
    </xf>
    <xf numFmtId="0" fontId="31" fillId="19" borderId="35" xfId="4" applyFont="1" applyFill="1" applyBorder="1" applyAlignment="1">
      <alignment vertical="center"/>
    </xf>
    <xf numFmtId="0" fontId="27" fillId="19" borderId="35" xfId="4" applyFont="1" applyFill="1" applyBorder="1" applyAlignment="1">
      <alignment vertical="center"/>
    </xf>
    <xf numFmtId="0" fontId="60" fillId="19" borderId="35" xfId="4" applyFont="1" applyFill="1" applyBorder="1" applyAlignment="1">
      <alignment vertical="center"/>
    </xf>
    <xf numFmtId="0" fontId="60" fillId="19" borderId="26" xfId="4" applyFont="1" applyFill="1" applyBorder="1" applyAlignment="1">
      <alignment vertical="center"/>
    </xf>
    <xf numFmtId="0" fontId="31" fillId="19" borderId="31" xfId="4" applyFont="1" applyFill="1" applyBorder="1"/>
    <xf numFmtId="0" fontId="31" fillId="19" borderId="32" xfId="4" applyFont="1" applyFill="1" applyBorder="1"/>
    <xf numFmtId="0" fontId="31" fillId="19" borderId="32" xfId="4" applyFont="1" applyFill="1" applyBorder="1" applyAlignment="1">
      <alignment horizontal="center"/>
    </xf>
    <xf numFmtId="0" fontId="31" fillId="19" borderId="27" xfId="4" applyFont="1" applyFill="1" applyBorder="1"/>
    <xf numFmtId="0" fontId="49" fillId="19" borderId="0" xfId="4" applyFont="1" applyFill="1"/>
    <xf numFmtId="0" fontId="31" fillId="19" borderId="30" xfId="4" applyFont="1" applyFill="1" applyBorder="1"/>
    <xf numFmtId="0" fontId="31" fillId="19" borderId="0" xfId="4" applyFont="1" applyFill="1" applyBorder="1"/>
    <xf numFmtId="0" fontId="31" fillId="19" borderId="0" xfId="4" applyFont="1" applyFill="1" applyBorder="1" applyAlignment="1">
      <alignment horizontal="center" vertical="center" wrapText="1"/>
    </xf>
    <xf numFmtId="0" fontId="31" fillId="19" borderId="0" xfId="4" applyFont="1" applyFill="1" applyBorder="1" applyAlignment="1">
      <alignment horizontal="left" vertical="center" wrapText="1"/>
    </xf>
    <xf numFmtId="0" fontId="31" fillId="19" borderId="28" xfId="4" applyFont="1" applyFill="1" applyBorder="1" applyAlignment="1">
      <alignment horizontal="left" vertical="center" wrapText="1"/>
    </xf>
    <xf numFmtId="0" fontId="31" fillId="19" borderId="30" xfId="4" applyFont="1" applyFill="1" applyBorder="1" applyAlignment="1"/>
    <xf numFmtId="0" fontId="31" fillId="19" borderId="0" xfId="4" applyFont="1" applyFill="1" applyBorder="1" applyAlignment="1"/>
    <xf numFmtId="171" fontId="31" fillId="19" borderId="0" xfId="4" applyNumberFormat="1" applyFont="1" applyFill="1" applyBorder="1" applyAlignment="1"/>
    <xf numFmtId="171" fontId="31" fillId="19" borderId="0" xfId="4" applyNumberFormat="1" applyFont="1" applyFill="1" applyBorder="1" applyAlignment="1">
      <alignment horizontal="center"/>
    </xf>
    <xf numFmtId="0" fontId="31" fillId="19" borderId="0" xfId="4" applyFont="1" applyFill="1" applyBorder="1" applyAlignment="1">
      <alignment horizontal="center"/>
    </xf>
    <xf numFmtId="0" fontId="69" fillId="19" borderId="0" xfId="4" applyFont="1" applyFill="1"/>
    <xf numFmtId="0" fontId="68" fillId="19" borderId="0" xfId="4" applyFont="1" applyFill="1"/>
    <xf numFmtId="0" fontId="71" fillId="19" borderId="0" xfId="4" applyFont="1" applyFill="1" applyBorder="1" applyAlignment="1">
      <alignment horizontal="center" vertical="center"/>
    </xf>
    <xf numFmtId="2" fontId="74" fillId="0" borderId="0" xfId="8" applyNumberFormat="1" applyFont="1" applyFill="1" applyBorder="1" applyAlignment="1">
      <alignment horizontal="left" vertical="center" wrapText="1"/>
    </xf>
    <xf numFmtId="0" fontId="71" fillId="19" borderId="28" xfId="4" applyFont="1" applyFill="1" applyBorder="1" applyAlignment="1">
      <alignment horizontal="center" vertical="center" wrapText="1"/>
    </xf>
    <xf numFmtId="0" fontId="31" fillId="19" borderId="0" xfId="4" applyFont="1" applyFill="1" applyBorder="1" applyAlignment="1">
      <alignment vertical="top" wrapText="1"/>
    </xf>
    <xf numFmtId="0" fontId="51" fillId="19" borderId="0" xfId="4" applyFont="1" applyFill="1" applyBorder="1" applyAlignment="1">
      <alignment vertical="top" wrapText="1"/>
    </xf>
    <xf numFmtId="0" fontId="51" fillId="19" borderId="0" xfId="4" applyFont="1" applyFill="1" applyBorder="1" applyAlignment="1"/>
    <xf numFmtId="0" fontId="31" fillId="19" borderId="28" xfId="4" applyFont="1" applyFill="1" applyBorder="1" applyAlignment="1">
      <alignment horizontal="center"/>
    </xf>
    <xf numFmtId="0" fontId="31" fillId="0" borderId="0" xfId="4" applyFont="1" applyFill="1" applyBorder="1" applyAlignment="1">
      <alignment horizontal="center"/>
    </xf>
    <xf numFmtId="0" fontId="46" fillId="0" borderId="0" xfId="4" applyFont="1" applyFill="1" applyBorder="1" applyAlignment="1">
      <alignment horizontal="left"/>
    </xf>
    <xf numFmtId="0" fontId="31" fillId="0" borderId="28" xfId="4" applyFont="1" applyFill="1" applyBorder="1" applyAlignment="1">
      <alignment horizontal="center"/>
    </xf>
    <xf numFmtId="0" fontId="31" fillId="0" borderId="0" xfId="4" applyFont="1" applyFill="1" applyBorder="1" applyAlignment="1">
      <alignment horizontal="left"/>
    </xf>
    <xf numFmtId="0" fontId="31" fillId="19" borderId="0" xfId="4" applyFont="1" applyFill="1" applyBorder="1" applyAlignment="1">
      <alignment horizontal="center" vertical="top"/>
    </xf>
    <xf numFmtId="0" fontId="31" fillId="0" borderId="0" xfId="4" applyFont="1" applyFill="1" applyBorder="1" applyAlignment="1"/>
    <xf numFmtId="0" fontId="46" fillId="0" borderId="0" xfId="4" applyFont="1" applyFill="1" applyBorder="1" applyAlignment="1"/>
    <xf numFmtId="0" fontId="31" fillId="0" borderId="28" xfId="4" applyFont="1" applyFill="1" applyBorder="1" applyAlignment="1"/>
    <xf numFmtId="0" fontId="31" fillId="19" borderId="0" xfId="4" applyFont="1" applyFill="1" applyBorder="1" applyAlignment="1">
      <alignment wrapText="1"/>
    </xf>
    <xf numFmtId="0" fontId="51" fillId="19" borderId="0" xfId="4" applyFont="1" applyFill="1" applyBorder="1" applyAlignment="1">
      <alignment horizontal="center"/>
    </xf>
    <xf numFmtId="0" fontId="69" fillId="2" borderId="0" xfId="4" applyFont="1" applyFill="1" applyBorder="1" applyAlignment="1">
      <alignment wrapText="1"/>
    </xf>
    <xf numFmtId="0" fontId="31" fillId="19" borderId="34" xfId="4" applyFont="1" applyFill="1" applyBorder="1"/>
    <xf numFmtId="0" fontId="31" fillId="19" borderId="34" xfId="4" applyFont="1" applyFill="1" applyBorder="1" applyAlignment="1">
      <alignment horizontal="center"/>
    </xf>
    <xf numFmtId="0" fontId="31" fillId="19" borderId="29" xfId="4" applyFont="1" applyFill="1" applyBorder="1" applyAlignment="1">
      <alignment horizontal="right"/>
    </xf>
    <xf numFmtId="0" fontId="49" fillId="19" borderId="0" xfId="4" applyFont="1" applyFill="1" applyBorder="1"/>
    <xf numFmtId="0" fontId="49" fillId="19" borderId="0" xfId="4" applyFont="1" applyFill="1" applyBorder="1" applyAlignment="1">
      <alignment horizontal="center"/>
    </xf>
    <xf numFmtId="0" fontId="51" fillId="19" borderId="0" xfId="4" applyFont="1" applyFill="1" applyBorder="1" applyAlignment="1">
      <alignment horizontal="center" vertical="top" wrapText="1"/>
    </xf>
    <xf numFmtId="0" fontId="31" fillId="19" borderId="0" xfId="4" applyFill="1" applyAlignment="1">
      <alignment horizontal="center"/>
    </xf>
    <xf numFmtId="166" fontId="28" fillId="2" borderId="0" xfId="0" applyNumberFormat="1" applyFont="1" applyFill="1" applyAlignment="1">
      <alignment horizontal="justify" vertical="top" wrapText="1"/>
    </xf>
    <xf numFmtId="0" fontId="29" fillId="2" borderId="24" xfId="0" applyFont="1" applyFill="1" applyBorder="1" applyAlignment="1">
      <alignment horizontal="center" vertical="center"/>
    </xf>
    <xf numFmtId="0" fontId="19" fillId="2" borderId="0" xfId="0" applyFont="1" applyFill="1" applyBorder="1" applyAlignment="1">
      <alignment horizontal="center" vertical="center"/>
    </xf>
    <xf numFmtId="0" fontId="25" fillId="15" borderId="50" xfId="0" applyFont="1" applyFill="1" applyBorder="1" applyAlignment="1">
      <alignment horizontal="center" vertical="center"/>
    </xf>
    <xf numFmtId="0" fontId="29" fillId="2" borderId="0" xfId="0" applyFont="1" applyFill="1" applyAlignment="1">
      <alignment horizontal="center" vertical="center"/>
    </xf>
    <xf numFmtId="0" fontId="28" fillId="2" borderId="0" xfId="0" applyFont="1" applyFill="1" applyAlignment="1">
      <alignment horizontal="center" vertical="center"/>
    </xf>
    <xf numFmtId="4" fontId="25" fillId="15" borderId="57" xfId="0" applyNumberFormat="1" applyFont="1" applyFill="1" applyBorder="1" applyAlignment="1" applyProtection="1">
      <alignment horizontal="right" vertical="center" wrapText="1"/>
    </xf>
    <xf numFmtId="4" fontId="24" fillId="15" borderId="0" xfId="0" applyNumberFormat="1" applyFont="1" applyFill="1" applyAlignment="1">
      <alignment horizontal="center" vertical="center"/>
    </xf>
    <xf numFmtId="4" fontId="25" fillId="15" borderId="0" xfId="0" applyNumberFormat="1" applyFont="1" applyFill="1" applyAlignment="1">
      <alignment horizontal="center" vertical="center"/>
    </xf>
    <xf numFmtId="4" fontId="25" fillId="2" borderId="39" xfId="0" applyNumberFormat="1" applyFont="1" applyFill="1" applyBorder="1" applyAlignment="1">
      <alignment horizontal="center" vertical="center" wrapText="1"/>
    </xf>
    <xf numFmtId="4" fontId="25" fillId="2" borderId="39" xfId="0" applyNumberFormat="1" applyFont="1" applyFill="1" applyBorder="1" applyAlignment="1">
      <alignment horizontal="center" vertical="center"/>
    </xf>
    <xf numFmtId="4" fontId="25" fillId="5" borderId="57" xfId="0" applyNumberFormat="1" applyFont="1" applyFill="1" applyBorder="1" applyAlignment="1">
      <alignment horizontal="right" vertical="center" wrapText="1"/>
    </xf>
    <xf numFmtId="4" fontId="25" fillId="15" borderId="57" xfId="0" applyNumberFormat="1" applyFont="1" applyFill="1" applyBorder="1" applyAlignment="1">
      <alignment horizontal="right" vertical="center" wrapText="1"/>
    </xf>
    <xf numFmtId="0" fontId="77" fillId="0" borderId="61" xfId="0" applyFont="1" applyBorder="1" applyAlignment="1">
      <alignment horizontal="center"/>
    </xf>
    <xf numFmtId="0" fontId="77" fillId="6" borderId="110" xfId="0" applyFont="1" applyFill="1" applyBorder="1" applyAlignment="1">
      <alignment horizontal="left" vertical="center" wrapText="1"/>
    </xf>
    <xf numFmtId="0" fontId="79" fillId="0" borderId="107" xfId="0" applyFont="1" applyBorder="1"/>
    <xf numFmtId="0" fontId="79" fillId="0" borderId="0" xfId="0" applyFont="1"/>
    <xf numFmtId="0" fontId="77" fillId="0" borderId="63" xfId="0" applyFont="1" applyBorder="1" applyAlignment="1">
      <alignment horizontal="center"/>
    </xf>
    <xf numFmtId="0" fontId="77" fillId="6" borderId="25" xfId="0" applyFont="1" applyFill="1" applyBorder="1" applyAlignment="1">
      <alignment horizontal="left" vertical="center" wrapText="1"/>
    </xf>
    <xf numFmtId="0" fontId="79" fillId="0" borderId="64" xfId="0" applyFont="1" applyBorder="1"/>
    <xf numFmtId="176" fontId="77" fillId="6" borderId="25" xfId="0" applyNumberFormat="1" applyFont="1" applyFill="1" applyBorder="1" applyAlignment="1">
      <alignment horizontal="left" vertical="center" wrapText="1"/>
    </xf>
    <xf numFmtId="166" fontId="77" fillId="6" borderId="25" xfId="0" applyNumberFormat="1" applyFont="1" applyFill="1" applyBorder="1" applyAlignment="1">
      <alignment horizontal="left" vertical="center" wrapText="1"/>
    </xf>
    <xf numFmtId="14" fontId="77" fillId="6" borderId="31" xfId="0" applyNumberFormat="1" applyFont="1" applyFill="1" applyBorder="1" applyAlignment="1">
      <alignment horizontal="left" vertical="center" wrapText="1"/>
    </xf>
    <xf numFmtId="177" fontId="30" fillId="6" borderId="112" xfId="0" applyNumberFormat="1" applyFont="1" applyFill="1" applyBorder="1" applyAlignment="1">
      <alignment horizontal="right" vertical="center" wrapText="1"/>
    </xf>
    <xf numFmtId="171" fontId="30" fillId="6" borderId="112" xfId="0" applyNumberFormat="1" applyFont="1" applyFill="1" applyBorder="1" applyAlignment="1">
      <alignment vertical="center" wrapText="1"/>
    </xf>
    <xf numFmtId="178" fontId="30" fillId="21" borderId="57" xfId="0" applyNumberFormat="1" applyFont="1" applyFill="1" applyBorder="1" applyAlignment="1">
      <alignment vertical="center" wrapText="1"/>
    </xf>
    <xf numFmtId="178" fontId="30" fillId="21" borderId="57" xfId="0" applyNumberFormat="1" applyFont="1" applyFill="1" applyBorder="1" applyAlignment="1">
      <alignment horizontal="center" vertical="center"/>
    </xf>
    <xf numFmtId="178" fontId="30" fillId="21" borderId="58" xfId="0" applyNumberFormat="1" applyFont="1" applyFill="1" applyBorder="1" applyAlignment="1">
      <alignment horizontal="center" vertical="center"/>
    </xf>
    <xf numFmtId="171" fontId="30" fillId="6" borderId="56" xfId="0" applyNumberFormat="1" applyFont="1" applyFill="1" applyBorder="1" applyAlignment="1">
      <alignment vertical="center" wrapText="1"/>
    </xf>
    <xf numFmtId="180" fontId="79" fillId="0" borderId="0" xfId="0" applyNumberFormat="1" applyFont="1"/>
    <xf numFmtId="0" fontId="30" fillId="24" borderId="63" xfId="0" applyFont="1" applyFill="1" applyBorder="1" applyAlignment="1">
      <alignment horizontal="center" vertical="center"/>
    </xf>
    <xf numFmtId="0" fontId="30" fillId="24" borderId="0" xfId="0" applyFont="1" applyFill="1" applyBorder="1" applyAlignment="1">
      <alignment horizontal="center" vertical="center"/>
    </xf>
    <xf numFmtId="0" fontId="77" fillId="0" borderId="63" xfId="0" applyFont="1" applyBorder="1" applyAlignment="1">
      <alignment horizontal="center" vertical="center"/>
    </xf>
    <xf numFmtId="0" fontId="81" fillId="5" borderId="108" xfId="0" applyFont="1" applyFill="1" applyBorder="1" applyAlignment="1">
      <alignment vertical="center"/>
    </xf>
    <xf numFmtId="0" fontId="81" fillId="5" borderId="115" xfId="0" applyFont="1" applyFill="1" applyBorder="1" applyAlignment="1">
      <alignment vertical="center"/>
    </xf>
    <xf numFmtId="177" fontId="81" fillId="22" borderId="116" xfId="0" applyNumberFormat="1" applyFont="1" applyFill="1" applyBorder="1" applyAlignment="1">
      <alignment vertical="center"/>
    </xf>
    <xf numFmtId="177" fontId="81" fillId="22" borderId="92" xfId="0" applyNumberFormat="1" applyFont="1" applyFill="1" applyBorder="1" applyAlignment="1">
      <alignment vertical="center"/>
    </xf>
    <xf numFmtId="0" fontId="79" fillId="0" borderId="0" xfId="0" applyFont="1" applyAlignment="1">
      <alignment vertical="center"/>
    </xf>
    <xf numFmtId="0" fontId="82" fillId="5" borderId="111" xfId="0" applyFont="1" applyFill="1" applyBorder="1" applyAlignment="1">
      <alignment vertical="center"/>
    </xf>
    <xf numFmtId="0" fontId="82" fillId="5" borderId="35" xfId="0" applyFont="1" applyFill="1" applyBorder="1" applyAlignment="1">
      <alignment vertical="center"/>
    </xf>
    <xf numFmtId="9" fontId="82" fillId="5" borderId="26" xfId="0" applyNumberFormat="1" applyFont="1" applyFill="1" applyBorder="1" applyAlignment="1">
      <alignment horizontal="center" vertical="center"/>
    </xf>
    <xf numFmtId="177" fontId="82" fillId="22" borderId="119" xfId="0" applyNumberFormat="1" applyFont="1" applyFill="1" applyBorder="1" applyAlignment="1">
      <alignment vertical="center"/>
    </xf>
    <xf numFmtId="177" fontId="82" fillId="22" borderId="65" xfId="0" applyNumberFormat="1" applyFont="1" applyFill="1" applyBorder="1" applyAlignment="1">
      <alignment vertical="center"/>
    </xf>
    <xf numFmtId="0" fontId="81" fillId="5" borderId="111" xfId="0" applyFont="1" applyFill="1" applyBorder="1" applyAlignment="1">
      <alignment vertical="center"/>
    </xf>
    <xf numFmtId="0" fontId="81" fillId="5" borderId="35" xfId="0" applyFont="1" applyFill="1" applyBorder="1" applyAlignment="1">
      <alignment vertical="center"/>
    </xf>
    <xf numFmtId="0" fontId="81" fillId="5" borderId="26" xfId="0" applyFont="1" applyFill="1" applyBorder="1" applyAlignment="1">
      <alignment vertical="center"/>
    </xf>
    <xf numFmtId="177" fontId="81" fillId="22" borderId="65" xfId="0" applyNumberFormat="1" applyFont="1" applyFill="1" applyBorder="1" applyAlignment="1">
      <alignment vertical="center"/>
    </xf>
    <xf numFmtId="0" fontId="82" fillId="5" borderId="66" xfId="0" applyFont="1" applyFill="1" applyBorder="1" applyAlignment="1">
      <alignment horizontal="right" vertical="center"/>
    </xf>
    <xf numFmtId="9" fontId="82" fillId="5" borderId="121" xfId="0" applyNumberFormat="1" applyFont="1" applyFill="1" applyBorder="1" applyAlignment="1">
      <alignment horizontal="center" vertical="center"/>
    </xf>
    <xf numFmtId="171" fontId="81" fillId="22" borderId="122" xfId="0" applyNumberFormat="1" applyFont="1" applyFill="1" applyBorder="1" applyAlignment="1">
      <alignment vertical="center"/>
    </xf>
    <xf numFmtId="0" fontId="81" fillId="26" borderId="111" xfId="0" applyFont="1" applyFill="1" applyBorder="1" applyAlignment="1">
      <alignment vertical="center"/>
    </xf>
    <xf numFmtId="0" fontId="81" fillId="26" borderId="35" xfId="0" applyFont="1" applyFill="1" applyBorder="1" applyAlignment="1">
      <alignment vertical="center"/>
    </xf>
    <xf numFmtId="0" fontId="81" fillId="26" borderId="26" xfId="0" applyFont="1" applyFill="1" applyBorder="1" applyAlignment="1">
      <alignment vertical="center"/>
    </xf>
    <xf numFmtId="177" fontId="81" fillId="26" borderId="65" xfId="0" applyNumberFormat="1" applyFont="1" applyFill="1" applyBorder="1" applyAlignment="1">
      <alignment vertical="center"/>
    </xf>
    <xf numFmtId="0" fontId="82" fillId="5" borderId="113" xfId="0" applyFont="1" applyFill="1" applyBorder="1" applyAlignment="1">
      <alignment horizontal="right" vertical="center"/>
    </xf>
    <xf numFmtId="9" fontId="82" fillId="5" borderId="125" xfId="0" applyNumberFormat="1" applyFont="1" applyFill="1" applyBorder="1" applyAlignment="1">
      <alignment horizontal="center" vertical="center"/>
    </xf>
    <xf numFmtId="171" fontId="81" fillId="22" borderId="126" xfId="0" applyNumberFormat="1" applyFont="1" applyFill="1" applyBorder="1" applyAlignment="1">
      <alignment vertical="center"/>
    </xf>
    <xf numFmtId="0" fontId="77" fillId="0" borderId="112" xfId="0" applyFont="1" applyBorder="1" applyAlignment="1">
      <alignment horizontal="center" vertical="center"/>
    </xf>
    <xf numFmtId="0" fontId="81" fillId="26" borderId="67" xfId="0" applyFont="1" applyFill="1" applyBorder="1" applyAlignment="1">
      <alignment vertical="center"/>
    </xf>
    <xf numFmtId="0" fontId="81" fillId="26" borderId="66" xfId="0" applyFont="1" applyFill="1" applyBorder="1" applyAlignment="1">
      <alignment vertical="center"/>
    </xf>
    <xf numFmtId="0" fontId="81" fillId="26" borderId="121" xfId="0" applyFont="1" applyFill="1" applyBorder="1" applyAlignment="1">
      <alignment vertical="center"/>
    </xf>
    <xf numFmtId="177" fontId="81" fillId="26" borderId="127" xfId="0" applyNumberFormat="1" applyFont="1" applyFill="1" applyBorder="1" applyAlignment="1">
      <alignment vertical="center"/>
    </xf>
    <xf numFmtId="182" fontId="79" fillId="0" borderId="0" xfId="0" applyNumberFormat="1" applyFont="1" applyAlignment="1">
      <alignment vertical="center"/>
    </xf>
    <xf numFmtId="0" fontId="30" fillId="0" borderId="128" xfId="0" applyFont="1" applyBorder="1" applyAlignment="1">
      <alignment horizontal="center" vertical="center" wrapText="1"/>
    </xf>
    <xf numFmtId="0" fontId="81" fillId="6" borderId="130" xfId="0" applyFont="1" applyFill="1" applyBorder="1" applyAlignment="1">
      <alignment horizontal="center" vertical="center" wrapText="1"/>
    </xf>
    <xf numFmtId="0" fontId="81" fillId="6" borderId="131" xfId="0" applyFont="1" applyFill="1" applyBorder="1" applyAlignment="1">
      <alignment horizontal="center" vertical="center"/>
    </xf>
    <xf numFmtId="0" fontId="81" fillId="6" borderId="132" xfId="0" applyFont="1" applyFill="1" applyBorder="1" applyAlignment="1">
      <alignment horizontal="center" vertical="center"/>
    </xf>
    <xf numFmtId="170" fontId="81" fillId="6" borderId="133" xfId="0" applyNumberFormat="1" applyFont="1" applyFill="1" applyBorder="1" applyAlignment="1">
      <alignment horizontal="center" vertical="center"/>
    </xf>
    <xf numFmtId="0" fontId="81" fillId="6" borderId="112" xfId="0" applyFont="1" applyFill="1" applyBorder="1" applyAlignment="1">
      <alignment horizontal="center" vertical="center" wrapText="1"/>
    </xf>
    <xf numFmtId="164" fontId="79" fillId="0" borderId="0" xfId="17" applyFont="1" applyAlignment="1">
      <alignment vertical="center"/>
    </xf>
    <xf numFmtId="0" fontId="83" fillId="0" borderId="118" xfId="0" applyFont="1" applyFill="1" applyBorder="1" applyAlignment="1">
      <alignment horizontal="left" vertical="top"/>
    </xf>
    <xf numFmtId="0" fontId="84" fillId="0" borderId="110" xfId="0" applyFont="1" applyFill="1" applyBorder="1" applyAlignment="1">
      <alignment horizontal="left" vertical="top"/>
    </xf>
    <xf numFmtId="2" fontId="84" fillId="0" borderId="118" xfId="0" applyNumberFormat="1" applyFont="1" applyFill="1" applyBorder="1" applyAlignment="1">
      <alignment horizontal="right" vertical="top"/>
    </xf>
    <xf numFmtId="0" fontId="84" fillId="0" borderId="134" xfId="0" applyFont="1" applyFill="1" applyBorder="1" applyAlignment="1">
      <alignment horizontal="right" vertical="top"/>
    </xf>
    <xf numFmtId="0" fontId="84" fillId="0" borderId="116" xfId="0" applyFont="1" applyFill="1" applyBorder="1" applyAlignment="1">
      <alignment vertical="top"/>
    </xf>
    <xf numFmtId="39" fontId="82" fillId="0" borderId="118" xfId="0" applyNumberFormat="1" applyFont="1" applyBorder="1" applyAlignment="1">
      <alignment horizontal="right" vertical="center"/>
    </xf>
    <xf numFmtId="39" fontId="82" fillId="0" borderId="0" xfId="0" applyNumberFormat="1" applyFont="1" applyBorder="1" applyAlignment="1">
      <alignment horizontal="right" vertical="center"/>
    </xf>
    <xf numFmtId="171" fontId="82" fillId="2" borderId="65" xfId="0" applyNumberFormat="1" applyFont="1" applyFill="1" applyBorder="1" applyAlignment="1">
      <alignment vertical="center"/>
    </xf>
    <xf numFmtId="43" fontId="82" fillId="0" borderId="120" xfId="16" applyFont="1" applyFill="1" applyBorder="1" applyAlignment="1">
      <alignment vertical="center"/>
    </xf>
    <xf numFmtId="43" fontId="82" fillId="0" borderId="35" xfId="16" applyFont="1" applyFill="1" applyBorder="1" applyAlignment="1">
      <alignment vertical="center"/>
    </xf>
    <xf numFmtId="178" fontId="82" fillId="0" borderId="65" xfId="0" applyNumberFormat="1" applyFont="1" applyFill="1" applyBorder="1" applyAlignment="1">
      <alignment vertical="center"/>
    </xf>
    <xf numFmtId="171" fontId="79" fillId="0" borderId="65" xfId="0" applyNumberFormat="1" applyFont="1" applyBorder="1" applyAlignment="1">
      <alignment vertical="center"/>
    </xf>
    <xf numFmtId="178" fontId="85" fillId="0" borderId="0" xfId="0" applyNumberFormat="1" applyFont="1" applyFill="1" applyAlignment="1">
      <alignment vertical="center"/>
    </xf>
    <xf numFmtId="0" fontId="85" fillId="0" borderId="0" xfId="0" applyFont="1" applyFill="1" applyAlignment="1">
      <alignment vertical="center"/>
    </xf>
    <xf numFmtId="183" fontId="79" fillId="0" borderId="0" xfId="0" applyNumberFormat="1" applyFont="1" applyFill="1" applyAlignment="1">
      <alignment vertical="center"/>
    </xf>
    <xf numFmtId="0" fontId="84" fillId="0" borderId="120" xfId="0" applyFont="1" applyBorder="1" applyAlignment="1">
      <alignment horizontal="left" vertical="top" wrapText="1"/>
    </xf>
    <xf numFmtId="0" fontId="82" fillId="0" borderId="32" xfId="0" applyFont="1" applyFill="1" applyBorder="1" applyAlignment="1">
      <alignment horizontal="center" vertical="center" wrapText="1"/>
    </xf>
    <xf numFmtId="2" fontId="84" fillId="0" borderId="120" xfId="0" applyNumberFormat="1" applyFont="1" applyBorder="1" applyAlignment="1">
      <alignment horizontal="right" vertical="top" wrapText="1"/>
    </xf>
    <xf numFmtId="43" fontId="84" fillId="0" borderId="24" xfId="16" applyNumberFormat="1" applyFont="1" applyBorder="1" applyAlignment="1">
      <alignment vertical="top" wrapText="1"/>
    </xf>
    <xf numFmtId="43" fontId="84" fillId="0" borderId="65" xfId="16" applyNumberFormat="1" applyFont="1" applyBorder="1" applyAlignment="1">
      <alignment vertical="center" wrapText="1"/>
    </xf>
    <xf numFmtId="2" fontId="84" fillId="0" borderId="24" xfId="0" applyNumberFormat="1" applyFont="1" applyBorder="1" applyAlignment="1">
      <alignment horizontal="right" vertical="top" wrapText="1"/>
    </xf>
    <xf numFmtId="43" fontId="82" fillId="0" borderId="65" xfId="16" applyFont="1" applyBorder="1" applyAlignment="1">
      <alignment vertical="center" wrapText="1"/>
    </xf>
    <xf numFmtId="0" fontId="79" fillId="0" borderId="65" xfId="0" applyNumberFormat="1" applyFont="1" applyBorder="1" applyAlignment="1">
      <alignment vertical="center" wrapText="1"/>
    </xf>
    <xf numFmtId="184" fontId="82" fillId="0" borderId="65" xfId="0" applyNumberFormat="1" applyFont="1" applyFill="1" applyBorder="1" applyAlignment="1">
      <alignment vertical="center"/>
    </xf>
    <xf numFmtId="0" fontId="84" fillId="0" borderId="120" xfId="0" applyFont="1" applyBorder="1" applyAlignment="1">
      <alignment horizontal="left" vertical="center" wrapText="1"/>
    </xf>
    <xf numFmtId="2" fontId="84" fillId="0" borderId="120" xfId="0" applyNumberFormat="1" applyFont="1" applyBorder="1" applyAlignment="1">
      <alignment horizontal="right" vertical="center" wrapText="1"/>
    </xf>
    <xf numFmtId="43" fontId="84" fillId="0" borderId="24" xfId="16" applyNumberFormat="1" applyFont="1" applyBorder="1" applyAlignment="1">
      <alignment vertical="center" wrapText="1"/>
    </xf>
    <xf numFmtId="2" fontId="84" fillId="0" borderId="24" xfId="0" applyNumberFormat="1" applyFont="1" applyBorder="1" applyAlignment="1">
      <alignment horizontal="right" vertical="center" wrapText="1"/>
    </xf>
    <xf numFmtId="43" fontId="82" fillId="2" borderId="120" xfId="16" applyFont="1" applyFill="1" applyBorder="1" applyAlignment="1">
      <alignment vertical="center"/>
    </xf>
    <xf numFmtId="0" fontId="79" fillId="0" borderId="65" xfId="0" applyNumberFormat="1" applyFont="1" applyFill="1" applyBorder="1" applyAlignment="1">
      <alignment vertical="center" wrapText="1"/>
    </xf>
    <xf numFmtId="43" fontId="85" fillId="0" borderId="0" xfId="16" applyFont="1" applyFill="1" applyAlignment="1">
      <alignment vertical="center"/>
    </xf>
    <xf numFmtId="0" fontId="86" fillId="0" borderId="120" xfId="0" applyFont="1" applyBorder="1" applyAlignment="1">
      <alignment horizontal="left" vertical="top" wrapText="1"/>
    </xf>
    <xf numFmtId="0" fontId="83" fillId="0" borderId="25" xfId="0" applyFont="1" applyBorder="1" applyAlignment="1">
      <alignment vertical="center" wrapText="1"/>
    </xf>
    <xf numFmtId="171" fontId="81" fillId="2" borderId="65" xfId="0" applyNumberFormat="1" applyFont="1" applyFill="1" applyBorder="1" applyAlignment="1">
      <alignment vertical="center" wrapText="1"/>
    </xf>
    <xf numFmtId="0" fontId="79" fillId="0" borderId="0" xfId="0" applyFont="1" applyFill="1" applyAlignment="1">
      <alignment vertical="center"/>
    </xf>
    <xf numFmtId="0" fontId="87" fillId="0" borderId="25" xfId="0" applyFont="1" applyBorder="1" applyAlignment="1">
      <alignment horizontal="left" vertical="top" wrapText="1"/>
    </xf>
    <xf numFmtId="2" fontId="87" fillId="0" borderId="120" xfId="0" applyNumberFormat="1" applyFont="1" applyBorder="1" applyAlignment="1">
      <alignment horizontal="right" vertical="top" wrapText="1"/>
    </xf>
    <xf numFmtId="184" fontId="87" fillId="0" borderId="24" xfId="16" applyNumberFormat="1" applyFont="1" applyBorder="1" applyAlignment="1">
      <alignment horizontal="right" vertical="top" wrapText="1"/>
    </xf>
    <xf numFmtId="171" fontId="81" fillId="27" borderId="65" xfId="0" applyNumberFormat="1" applyFont="1" applyFill="1" applyBorder="1" applyAlignment="1">
      <alignment vertical="center" wrapText="1"/>
    </xf>
    <xf numFmtId="2" fontId="87" fillId="0" borderId="24" xfId="0" applyNumberFormat="1" applyFont="1" applyBorder="1" applyAlignment="1">
      <alignment horizontal="right" vertical="top" wrapText="1"/>
    </xf>
    <xf numFmtId="0" fontId="83" fillId="0" borderId="120" xfId="0" applyFont="1" applyFill="1" applyBorder="1" applyAlignment="1">
      <alignment horizontal="left" vertical="top"/>
    </xf>
    <xf numFmtId="0" fontId="84" fillId="0" borderId="25" xfId="0" applyFont="1" applyFill="1" applyBorder="1" applyAlignment="1">
      <alignment horizontal="left" vertical="top"/>
    </xf>
    <xf numFmtId="2" fontId="84" fillId="0" borderId="120" xfId="0" applyNumberFormat="1" applyFont="1" applyFill="1" applyBorder="1" applyAlignment="1">
      <alignment horizontal="right" vertical="top"/>
    </xf>
    <xf numFmtId="0" fontId="84" fillId="0" borderId="24" xfId="0" applyFont="1" applyFill="1" applyBorder="1" applyAlignment="1">
      <alignment horizontal="right" vertical="top"/>
    </xf>
    <xf numFmtId="0" fontId="84" fillId="0" borderId="65" xfId="0" applyFont="1" applyFill="1" applyBorder="1" applyAlignment="1">
      <alignment vertical="top"/>
    </xf>
    <xf numFmtId="2" fontId="84" fillId="0" borderId="24" xfId="0" applyNumberFormat="1" applyFont="1" applyFill="1" applyBorder="1" applyAlignment="1">
      <alignment horizontal="right" vertical="top"/>
    </xf>
    <xf numFmtId="0" fontId="82" fillId="2" borderId="32" xfId="0" applyFont="1" applyFill="1" applyBorder="1" applyAlignment="1">
      <alignment horizontal="center" vertical="center" wrapText="1"/>
    </xf>
    <xf numFmtId="4" fontId="82" fillId="2" borderId="123" xfId="0" applyNumberFormat="1" applyFont="1" applyFill="1" applyBorder="1" applyAlignment="1">
      <alignment horizontal="right" vertical="center" wrapText="1"/>
    </xf>
    <xf numFmtId="171" fontId="82" fillId="2" borderId="25" xfId="0" applyNumberFormat="1" applyFont="1" applyFill="1" applyBorder="1" applyAlignment="1">
      <alignment vertical="center" wrapText="1"/>
    </xf>
    <xf numFmtId="171" fontId="82" fillId="2" borderId="65" xfId="0" applyNumberFormat="1" applyFont="1" applyFill="1" applyBorder="1" applyAlignment="1">
      <alignment vertical="center" wrapText="1"/>
    </xf>
    <xf numFmtId="4" fontId="82" fillId="2" borderId="93" xfId="0" applyNumberFormat="1" applyFont="1" applyFill="1" applyBorder="1" applyAlignment="1">
      <alignment horizontal="right" vertical="center" wrapText="1"/>
    </xf>
    <xf numFmtId="0" fontId="88" fillId="0" borderId="0" xfId="0" applyFont="1" applyFill="1" applyAlignment="1">
      <alignment vertical="center"/>
    </xf>
    <xf numFmtId="0" fontId="82" fillId="0" borderId="27" xfId="0" applyFont="1" applyFill="1" applyBorder="1" applyAlignment="1">
      <alignment horizontal="center" vertical="center" wrapText="1"/>
    </xf>
    <xf numFmtId="0" fontId="82" fillId="0" borderId="24" xfId="0" applyFont="1" applyFill="1" applyBorder="1" applyAlignment="1">
      <alignment horizontal="center" vertical="center" wrapText="1"/>
    </xf>
    <xf numFmtId="0" fontId="82" fillId="0" borderId="27" xfId="0" applyFont="1" applyFill="1" applyBorder="1" applyAlignment="1">
      <alignment horizontal="center" vertical="center"/>
    </xf>
    <xf numFmtId="0" fontId="82" fillId="2" borderId="120" xfId="0" applyFont="1" applyFill="1" applyBorder="1" applyAlignment="1">
      <alignment horizontal="center" vertical="center"/>
    </xf>
    <xf numFmtId="0" fontId="89" fillId="2" borderId="25" xfId="0" applyFont="1" applyFill="1" applyBorder="1" applyAlignment="1">
      <alignment vertical="center" wrapText="1"/>
    </xf>
    <xf numFmtId="171" fontId="81" fillId="2" borderId="65" xfId="0" applyNumberFormat="1" applyFont="1" applyFill="1" applyBorder="1" applyAlignment="1">
      <alignment vertical="center"/>
    </xf>
    <xf numFmtId="0" fontId="81" fillId="2" borderId="120" xfId="0" applyFont="1" applyFill="1" applyBorder="1" applyAlignment="1">
      <alignment horizontal="center" vertical="center"/>
    </xf>
    <xf numFmtId="0" fontId="89" fillId="2" borderId="120" xfId="0" applyFont="1" applyFill="1" applyBorder="1" applyAlignment="1">
      <alignment horizontal="right" vertical="center" wrapText="1"/>
    </xf>
    <xf numFmtId="0" fontId="89" fillId="2" borderId="24" xfId="0" applyFont="1" applyFill="1" applyBorder="1" applyAlignment="1">
      <alignment vertical="center" wrapText="1"/>
    </xf>
    <xf numFmtId="0" fontId="89" fillId="2" borderId="24" xfId="0" applyFont="1" applyFill="1" applyBorder="1" applyAlignment="1">
      <alignment horizontal="right" vertical="center" wrapText="1"/>
    </xf>
    <xf numFmtId="43" fontId="82" fillId="7" borderId="120" xfId="16" applyFont="1" applyFill="1" applyBorder="1" applyAlignment="1">
      <alignment vertical="center"/>
    </xf>
    <xf numFmtId="0" fontId="84" fillId="0" borderId="120" xfId="0" applyFont="1" applyFill="1" applyBorder="1" applyAlignment="1">
      <alignment horizontal="left" vertical="top" wrapText="1"/>
    </xf>
    <xf numFmtId="0" fontId="85" fillId="0" borderId="65" xfId="0" applyNumberFormat="1" applyFont="1" applyBorder="1" applyAlignment="1">
      <alignment vertical="center" wrapText="1"/>
    </xf>
    <xf numFmtId="0" fontId="84" fillId="0" borderId="120" xfId="0" applyFont="1" applyFill="1" applyBorder="1" applyAlignment="1">
      <alignment vertical="top"/>
    </xf>
    <xf numFmtId="0" fontId="84" fillId="0" borderId="35" xfId="0" applyFont="1" applyFill="1" applyBorder="1" applyAlignment="1">
      <alignment vertical="top"/>
    </xf>
    <xf numFmtId="0" fontId="84" fillId="0" borderId="26" xfId="0" applyFont="1" applyFill="1" applyBorder="1" applyAlignment="1">
      <alignment vertical="top"/>
    </xf>
    <xf numFmtId="0" fontId="84" fillId="0" borderId="120" xfId="0" applyFont="1" applyBorder="1" applyAlignment="1">
      <alignment vertical="top"/>
    </xf>
    <xf numFmtId="0" fontId="84" fillId="0" borderId="120" xfId="0" applyFont="1" applyBorder="1" applyAlignment="1">
      <alignment horizontal="left" vertical="top"/>
    </xf>
    <xf numFmtId="0" fontId="83" fillId="0" borderId="25" xfId="0" applyFont="1" applyFill="1" applyBorder="1" applyAlignment="1">
      <alignment vertical="top"/>
    </xf>
    <xf numFmtId="0" fontId="83" fillId="0" borderId="35" xfId="0" applyFont="1" applyFill="1" applyBorder="1" applyAlignment="1">
      <alignment vertical="top"/>
    </xf>
    <xf numFmtId="0" fontId="83" fillId="0" borderId="111" xfId="0" applyFont="1" applyFill="1" applyBorder="1" applyAlignment="1">
      <alignment horizontal="right" vertical="top"/>
    </xf>
    <xf numFmtId="0" fontId="83" fillId="0" borderId="26" xfId="0" applyFont="1" applyFill="1" applyBorder="1" applyAlignment="1">
      <alignment vertical="top"/>
    </xf>
    <xf numFmtId="171" fontId="81" fillId="27" borderId="65" xfId="0" applyNumberFormat="1" applyFont="1" applyFill="1" applyBorder="1" applyAlignment="1">
      <alignment vertical="center"/>
    </xf>
    <xf numFmtId="0" fontId="83" fillId="0" borderId="35" xfId="0" applyFont="1" applyFill="1" applyBorder="1" applyAlignment="1">
      <alignment horizontal="right" vertical="top"/>
    </xf>
    <xf numFmtId="43" fontId="83" fillId="27" borderId="65" xfId="16" applyNumberFormat="1" applyFont="1" applyFill="1" applyBorder="1" applyAlignment="1">
      <alignment vertical="top"/>
    </xf>
    <xf numFmtId="0" fontId="84" fillId="0" borderId="111" xfId="0" applyFont="1" applyBorder="1" applyAlignment="1">
      <alignment vertical="top"/>
    </xf>
    <xf numFmtId="0" fontId="89" fillId="2" borderId="136" xfId="0" applyFont="1" applyFill="1" applyBorder="1" applyAlignment="1">
      <alignment vertical="center" wrapText="1"/>
    </xf>
    <xf numFmtId="0" fontId="84" fillId="0" borderId="111" xfId="0" applyFont="1" applyFill="1" applyBorder="1" applyAlignment="1">
      <alignment horizontal="left" vertical="top"/>
    </xf>
    <xf numFmtId="2" fontId="84" fillId="0" borderId="25" xfId="0" applyNumberFormat="1" applyFont="1" applyBorder="1" applyAlignment="1">
      <alignment horizontal="right" vertical="top" wrapText="1"/>
    </xf>
    <xf numFmtId="0" fontId="83" fillId="0" borderId="120" xfId="0" applyFont="1" applyBorder="1" applyAlignment="1">
      <alignment horizontal="left" vertical="top"/>
    </xf>
    <xf numFmtId="2" fontId="84" fillId="0" borderId="120" xfId="0" applyNumberFormat="1" applyFont="1" applyBorder="1" applyAlignment="1">
      <alignment horizontal="right" vertical="top"/>
    </xf>
    <xf numFmtId="43" fontId="84" fillId="0" borderId="24" xfId="16" applyNumberFormat="1" applyFont="1" applyBorder="1" applyAlignment="1">
      <alignment horizontal="right" vertical="top"/>
    </xf>
    <xf numFmtId="2" fontId="84" fillId="0" borderId="24" xfId="0" applyNumberFormat="1" applyFont="1" applyBorder="1" applyAlignment="1">
      <alignment horizontal="right" vertical="top"/>
    </xf>
    <xf numFmtId="2" fontId="84" fillId="0" borderId="25" xfId="0" applyNumberFormat="1" applyFont="1" applyBorder="1" applyAlignment="1">
      <alignment horizontal="right" vertical="top"/>
    </xf>
    <xf numFmtId="171" fontId="81" fillId="0" borderId="65" xfId="0" applyNumberFormat="1" applyFont="1" applyFill="1" applyBorder="1" applyAlignment="1">
      <alignment vertical="center"/>
    </xf>
    <xf numFmtId="185" fontId="81" fillId="2" borderId="65" xfId="0" applyNumberFormat="1" applyFont="1" applyFill="1" applyBorder="1" applyAlignment="1">
      <alignment vertical="center"/>
    </xf>
    <xf numFmtId="0" fontId="84" fillId="0" borderId="25" xfId="0" applyFont="1" applyBorder="1" applyAlignment="1">
      <alignment horizontal="center" vertical="top"/>
    </xf>
    <xf numFmtId="43" fontId="84" fillId="0" borderId="65" xfId="16" applyNumberFormat="1" applyFont="1" applyBorder="1" applyAlignment="1">
      <alignment vertical="top"/>
    </xf>
    <xf numFmtId="186" fontId="81" fillId="2" borderId="65" xfId="0" applyNumberFormat="1" applyFont="1" applyFill="1" applyBorder="1" applyAlignment="1">
      <alignment vertical="center"/>
    </xf>
    <xf numFmtId="0" fontId="84" fillId="0" borderId="117" xfId="0" applyFont="1" applyBorder="1" applyAlignment="1">
      <alignment horizontal="left" vertical="top"/>
    </xf>
    <xf numFmtId="0" fontId="86" fillId="0" borderId="25" xfId="0" applyFont="1" applyFill="1" applyBorder="1" applyAlignment="1">
      <alignment vertical="top"/>
    </xf>
    <xf numFmtId="0" fontId="86" fillId="0" borderId="35" xfId="0" applyFont="1" applyFill="1" applyBorder="1" applyAlignment="1">
      <alignment vertical="top"/>
    </xf>
    <xf numFmtId="0" fontId="86" fillId="0" borderId="111" xfId="0" applyFont="1" applyFill="1" applyBorder="1" applyAlignment="1">
      <alignment horizontal="right" vertical="top"/>
    </xf>
    <xf numFmtId="0" fontId="86" fillId="0" borderId="26" xfId="0" applyFont="1" applyFill="1" applyBorder="1" applyAlignment="1">
      <alignment vertical="top"/>
    </xf>
    <xf numFmtId="0" fontId="86" fillId="0" borderId="35" xfId="0" applyFont="1" applyFill="1" applyBorder="1" applyAlignment="1">
      <alignment horizontal="right" vertical="top"/>
    </xf>
    <xf numFmtId="0" fontId="84" fillId="2" borderId="120" xfId="0" applyFont="1" applyFill="1" applyBorder="1" applyAlignment="1">
      <alignment horizontal="left" vertical="top" wrapText="1"/>
    </xf>
    <xf numFmtId="0" fontId="79" fillId="0" borderId="65" xfId="0" applyNumberFormat="1" applyFont="1" applyBorder="1" applyAlignment="1">
      <alignment horizontal="left" vertical="center" wrapText="1"/>
    </xf>
    <xf numFmtId="187" fontId="89" fillId="2" borderId="25" xfId="0" applyNumberFormat="1" applyFont="1" applyFill="1" applyBorder="1" applyAlignment="1">
      <alignment vertical="center" wrapText="1"/>
    </xf>
    <xf numFmtId="0" fontId="84" fillId="0" borderId="120" xfId="0" applyFont="1" applyFill="1" applyBorder="1" applyAlignment="1">
      <alignment horizontal="left" vertical="top"/>
    </xf>
    <xf numFmtId="0" fontId="82" fillId="0" borderId="25" xfId="0" applyFont="1" applyBorder="1" applyAlignment="1"/>
    <xf numFmtId="0" fontId="82" fillId="0" borderId="111" xfId="0" applyFont="1" applyBorder="1" applyAlignment="1"/>
    <xf numFmtId="0" fontId="82" fillId="0" borderId="26" xfId="0" applyFont="1" applyBorder="1" applyAlignment="1"/>
    <xf numFmtId="0" fontId="82" fillId="0" borderId="35" xfId="0" applyFont="1" applyBorder="1" applyAlignment="1"/>
    <xf numFmtId="0" fontId="84" fillId="0" borderId="117" xfId="0" applyFont="1" applyFill="1" applyBorder="1" applyAlignment="1">
      <alignment horizontal="left" vertical="top"/>
    </xf>
    <xf numFmtId="0" fontId="83" fillId="0" borderId="32" xfId="0" applyFont="1" applyFill="1" applyBorder="1" applyAlignment="1">
      <alignment vertical="top"/>
    </xf>
    <xf numFmtId="0" fontId="83" fillId="0" borderId="137" xfId="0" applyFont="1" applyFill="1" applyBorder="1" applyAlignment="1">
      <alignment horizontal="right" vertical="top"/>
    </xf>
    <xf numFmtId="171" fontId="81" fillId="27" borderId="138" xfId="0" applyNumberFormat="1" applyFont="1" applyFill="1" applyBorder="1" applyAlignment="1">
      <alignment vertical="center"/>
    </xf>
    <xf numFmtId="0" fontId="83" fillId="0" borderId="32" xfId="0" applyFont="1" applyFill="1" applyBorder="1" applyAlignment="1">
      <alignment horizontal="right" vertical="top"/>
    </xf>
    <xf numFmtId="0" fontId="83" fillId="0" borderId="119" xfId="0" applyFont="1" applyFill="1" applyBorder="1" applyAlignment="1">
      <alignment vertical="top"/>
    </xf>
    <xf numFmtId="0" fontId="83" fillId="0" borderId="25" xfId="0" applyFont="1" applyFill="1" applyBorder="1" applyAlignment="1">
      <alignment horizontal="center" vertical="top"/>
    </xf>
    <xf numFmtId="2" fontId="83" fillId="0" borderId="120" xfId="0" applyNumberFormat="1" applyFont="1" applyFill="1" applyBorder="1" applyAlignment="1">
      <alignment horizontal="right" vertical="top"/>
    </xf>
    <xf numFmtId="0" fontId="83" fillId="0" borderId="24" xfId="0" applyFont="1" applyFill="1" applyBorder="1" applyAlignment="1">
      <alignment horizontal="center" vertical="top"/>
    </xf>
    <xf numFmtId="0" fontId="83" fillId="0" borderId="65" xfId="0" applyFont="1" applyFill="1" applyBorder="1" applyAlignment="1">
      <alignment horizontal="center" vertical="top"/>
    </xf>
    <xf numFmtId="2" fontId="83" fillId="0" borderId="24" xfId="0" applyNumberFormat="1" applyFont="1" applyFill="1" applyBorder="1" applyAlignment="1">
      <alignment horizontal="right" vertical="top"/>
    </xf>
    <xf numFmtId="0" fontId="89" fillId="2" borderId="120" xfId="0" applyFont="1" applyFill="1" applyBorder="1" applyAlignment="1">
      <alignment vertical="center" wrapText="1"/>
    </xf>
    <xf numFmtId="171" fontId="81" fillId="27" borderId="24" xfId="0" applyNumberFormat="1" applyFont="1" applyFill="1" applyBorder="1" applyAlignment="1">
      <alignment vertical="center"/>
    </xf>
    <xf numFmtId="167" fontId="90" fillId="0" borderId="26" xfId="18" applyNumberFormat="1" applyFont="1" applyFill="1" applyBorder="1" applyAlignment="1">
      <alignment horizontal="center" vertical="center" wrapText="1"/>
    </xf>
    <xf numFmtId="167" fontId="90" fillId="0" borderId="35" xfId="18" applyNumberFormat="1" applyFont="1" applyFill="1" applyBorder="1" applyAlignment="1">
      <alignment horizontal="center" vertical="center" wrapText="1"/>
    </xf>
    <xf numFmtId="0" fontId="89" fillId="2" borderId="117" xfId="0" applyFont="1" applyFill="1" applyBorder="1" applyAlignment="1">
      <alignment vertical="center" wrapText="1"/>
    </xf>
    <xf numFmtId="0" fontId="89" fillId="2" borderId="25" xfId="0" applyFont="1" applyFill="1" applyBorder="1" applyAlignment="1">
      <alignment horizontal="center" vertical="center" wrapText="1"/>
    </xf>
    <xf numFmtId="0" fontId="89" fillId="2" borderId="35" xfId="0" applyFont="1" applyFill="1" applyBorder="1" applyAlignment="1">
      <alignment horizontal="center" vertical="center" wrapText="1"/>
    </xf>
    <xf numFmtId="0" fontId="89" fillId="2" borderId="26" xfId="0" applyFont="1" applyFill="1" applyBorder="1" applyAlignment="1">
      <alignment horizontal="center" vertical="center" wrapText="1"/>
    </xf>
    <xf numFmtId="0" fontId="89" fillId="2" borderId="33" xfId="0" applyFont="1" applyFill="1" applyBorder="1" applyAlignment="1">
      <alignment horizontal="right" vertical="center" wrapText="1"/>
    </xf>
    <xf numFmtId="0" fontId="89" fillId="2" borderId="29" xfId="0" applyFont="1" applyFill="1" applyBorder="1" applyAlignment="1">
      <alignment horizontal="center" vertical="center" wrapText="1"/>
    </xf>
    <xf numFmtId="171" fontId="81" fillId="0" borderId="122" xfId="0" applyNumberFormat="1" applyFont="1" applyFill="1" applyBorder="1" applyAlignment="1">
      <alignment vertical="center"/>
    </xf>
    <xf numFmtId="167" fontId="90" fillId="0" borderId="120" xfId="18" applyNumberFormat="1" applyFont="1" applyFill="1" applyBorder="1" applyAlignment="1">
      <alignment horizontal="center" vertical="center" wrapText="1"/>
    </xf>
    <xf numFmtId="0" fontId="0" fillId="0" borderId="63" xfId="0" applyFill="1" applyBorder="1"/>
    <xf numFmtId="0" fontId="91" fillId="0" borderId="35" xfId="0" applyFont="1" applyFill="1" applyBorder="1" applyAlignment="1"/>
    <xf numFmtId="0" fontId="91" fillId="0" borderId="119" xfId="0" applyFont="1" applyFill="1" applyBorder="1" applyAlignment="1"/>
    <xf numFmtId="167" fontId="90" fillId="0" borderId="32" xfId="18" applyNumberFormat="1" applyFont="1" applyFill="1" applyBorder="1" applyAlignment="1">
      <alignment horizontal="center" vertical="center" wrapText="1"/>
    </xf>
    <xf numFmtId="171" fontId="77" fillId="0" borderId="138" xfId="0" applyNumberFormat="1" applyFont="1" applyFill="1" applyBorder="1" applyAlignment="1">
      <alignment vertical="center"/>
    </xf>
    <xf numFmtId="43" fontId="82" fillId="0" borderId="32" xfId="16" applyFont="1" applyFill="1" applyBorder="1" applyAlignment="1">
      <alignment vertical="center"/>
    </xf>
    <xf numFmtId="171" fontId="82" fillId="2" borderId="138" xfId="0" applyNumberFormat="1" applyFont="1" applyFill="1" applyBorder="1" applyAlignment="1">
      <alignment vertical="center"/>
    </xf>
    <xf numFmtId="0" fontId="81" fillId="0" borderId="120" xfId="0" applyFont="1" applyFill="1" applyBorder="1" applyAlignment="1">
      <alignment horizontal="center" vertical="center"/>
    </xf>
    <xf numFmtId="0" fontId="81" fillId="0" borderId="24" xfId="0" applyFont="1" applyFill="1" applyBorder="1" applyAlignment="1">
      <alignment horizontal="center" vertical="center"/>
    </xf>
    <xf numFmtId="0" fontId="81" fillId="0" borderId="24" xfId="0" applyFont="1" applyFill="1" applyBorder="1" applyAlignment="1">
      <alignment horizontal="right" vertical="center"/>
    </xf>
    <xf numFmtId="170" fontId="81" fillId="0" borderId="65" xfId="0" applyNumberFormat="1" applyFont="1" applyFill="1" applyBorder="1" applyAlignment="1">
      <alignment horizontal="center" vertical="center"/>
    </xf>
    <xf numFmtId="171" fontId="77" fillId="0" borderId="65" xfId="0" applyNumberFormat="1" applyFont="1" applyFill="1" applyBorder="1" applyAlignment="1">
      <alignment vertical="center"/>
    </xf>
    <xf numFmtId="0" fontId="84" fillId="0" borderId="117" xfId="0" applyFont="1" applyBorder="1" applyAlignment="1">
      <alignment horizontal="left" vertical="top" wrapText="1"/>
    </xf>
    <xf numFmtId="0" fontId="82" fillId="0" borderId="28" xfId="0" applyFont="1" applyFill="1" applyBorder="1" applyAlignment="1">
      <alignment horizontal="center" vertical="center" wrapText="1"/>
    </xf>
    <xf numFmtId="2" fontId="84" fillId="0" borderId="75" xfId="0" applyNumberFormat="1" applyFont="1" applyBorder="1" applyAlignment="1">
      <alignment horizontal="right" vertical="top" wrapText="1"/>
    </xf>
    <xf numFmtId="43" fontId="84" fillId="0" borderId="75" xfId="16" applyNumberFormat="1" applyFont="1" applyBorder="1" applyAlignment="1">
      <alignment vertical="top" wrapText="1"/>
    </xf>
    <xf numFmtId="43" fontId="84" fillId="0" borderId="92" xfId="16" applyNumberFormat="1" applyFont="1" applyBorder="1" applyAlignment="1">
      <alignment vertical="center" wrapText="1"/>
    </xf>
    <xf numFmtId="167" fontId="90" fillId="0" borderId="34" xfId="18" applyNumberFormat="1" applyFont="1" applyFill="1" applyBorder="1" applyAlignment="1">
      <alignment horizontal="center" vertical="center" wrapText="1"/>
    </xf>
    <xf numFmtId="43" fontId="82" fillId="0" borderId="92" xfId="16" applyFont="1" applyBorder="1" applyAlignment="1">
      <alignment vertical="center" wrapText="1"/>
    </xf>
    <xf numFmtId="43" fontId="82" fillId="0" borderId="34" xfId="16" applyFont="1" applyFill="1" applyBorder="1" applyAlignment="1">
      <alignment vertical="center"/>
    </xf>
    <xf numFmtId="178" fontId="82" fillId="0" borderId="92" xfId="0" applyNumberFormat="1" applyFont="1" applyFill="1" applyBorder="1" applyAlignment="1">
      <alignment vertical="center"/>
    </xf>
    <xf numFmtId="0" fontId="90" fillId="2" borderId="24" xfId="0" applyFont="1" applyFill="1" applyBorder="1" applyAlignment="1">
      <alignment horizontal="center" vertical="center" wrapText="1"/>
    </xf>
    <xf numFmtId="0" fontId="84" fillId="0" borderId="24" xfId="0" applyFont="1" applyBorder="1" applyAlignment="1">
      <alignment horizontal="center" vertical="top"/>
    </xf>
    <xf numFmtId="0" fontId="90" fillId="2" borderId="120" xfId="0" applyFont="1" applyFill="1" applyBorder="1" applyAlignment="1">
      <alignment horizontal="left" vertical="center" wrapText="1"/>
    </xf>
    <xf numFmtId="39" fontId="30" fillId="0" borderId="120" xfId="16" applyNumberFormat="1" applyFont="1" applyFill="1" applyBorder="1" applyAlignment="1">
      <alignment vertical="center"/>
    </xf>
    <xf numFmtId="39" fontId="30" fillId="0" borderId="35" xfId="16" applyNumberFormat="1" applyFont="1" applyFill="1" applyBorder="1" applyAlignment="1">
      <alignment vertical="center"/>
    </xf>
    <xf numFmtId="178" fontId="88" fillId="0" borderId="0" xfId="0" applyNumberFormat="1" applyFont="1" applyFill="1" applyAlignment="1">
      <alignment vertical="center"/>
    </xf>
    <xf numFmtId="0" fontId="93" fillId="0" borderId="0" xfId="0" applyFont="1" applyFill="1" applyAlignment="1">
      <alignment vertical="center"/>
    </xf>
    <xf numFmtId="183" fontId="93" fillId="0" borderId="0" xfId="0" applyNumberFormat="1" applyFont="1" applyFill="1" applyAlignment="1">
      <alignment vertical="center"/>
    </xf>
    <xf numFmtId="0" fontId="18" fillId="0" borderId="63" xfId="0" applyFont="1" applyFill="1" applyBorder="1" applyAlignment="1">
      <alignment horizontal="center" vertical="center"/>
    </xf>
    <xf numFmtId="0" fontId="77" fillId="0" borderId="0" xfId="0" applyFont="1" applyFill="1" applyBorder="1" applyAlignment="1">
      <alignment horizontal="center" vertical="center"/>
    </xf>
    <xf numFmtId="2" fontId="77" fillId="0" borderId="0" xfId="0" applyNumberFormat="1" applyFont="1" applyFill="1" applyBorder="1" applyAlignment="1">
      <alignment horizontal="left" vertical="center"/>
    </xf>
    <xf numFmtId="178" fontId="77" fillId="0" borderId="0" xfId="16" applyNumberFormat="1" applyFont="1" applyFill="1" applyBorder="1" applyAlignment="1">
      <alignment horizontal="left" vertical="center"/>
    </xf>
    <xf numFmtId="171" fontId="77" fillId="0" borderId="64" xfId="0" applyNumberFormat="1" applyFont="1" applyFill="1" applyBorder="1" applyAlignment="1">
      <alignment vertical="center"/>
    </xf>
    <xf numFmtId="39" fontId="77" fillId="0" borderId="63" xfId="16" applyNumberFormat="1" applyFont="1" applyFill="1" applyBorder="1" applyAlignment="1">
      <alignment vertical="center"/>
    </xf>
    <xf numFmtId="39" fontId="77" fillId="0" borderId="0" xfId="16" applyNumberFormat="1" applyFont="1" applyFill="1" applyBorder="1" applyAlignment="1">
      <alignment vertical="center"/>
    </xf>
    <xf numFmtId="43" fontId="82" fillId="0" borderId="63" xfId="0" applyNumberFormat="1" applyFont="1" applyFill="1" applyBorder="1" applyAlignment="1">
      <alignment vertical="center"/>
    </xf>
    <xf numFmtId="43" fontId="82" fillId="0" borderId="0" xfId="0" applyNumberFormat="1" applyFont="1" applyFill="1" applyBorder="1" applyAlignment="1">
      <alignment vertical="center"/>
    </xf>
    <xf numFmtId="43" fontId="82" fillId="0" borderId="64" xfId="0" applyNumberFormat="1" applyFont="1" applyFill="1" applyBorder="1" applyAlignment="1">
      <alignment vertical="center"/>
    </xf>
    <xf numFmtId="0" fontId="18" fillId="0" borderId="66" xfId="0" applyFont="1" applyFill="1" applyBorder="1" applyAlignment="1">
      <alignment horizontal="center" vertical="center"/>
    </xf>
    <xf numFmtId="0" fontId="77" fillId="0" borderId="67" xfId="0" applyFont="1" applyFill="1" applyBorder="1" applyAlignment="1">
      <alignment horizontal="center" vertical="center"/>
    </xf>
    <xf numFmtId="2" fontId="77" fillId="0" borderId="67" xfId="0" applyNumberFormat="1" applyFont="1" applyFill="1" applyBorder="1" applyAlignment="1">
      <alignment horizontal="left" vertical="center"/>
    </xf>
    <xf numFmtId="178" fontId="77" fillId="0" borderId="67" xfId="16" applyNumberFormat="1" applyFont="1" applyFill="1" applyBorder="1" applyAlignment="1">
      <alignment horizontal="left" vertical="center"/>
    </xf>
    <xf numFmtId="171" fontId="81" fillId="28" borderId="68" xfId="0" applyNumberFormat="1" applyFont="1" applyFill="1" applyBorder="1" applyAlignment="1">
      <alignment vertical="center"/>
    </xf>
    <xf numFmtId="39" fontId="77" fillId="0" borderId="66" xfId="16" applyNumberFormat="1" applyFont="1" applyFill="1" applyBorder="1" applyAlignment="1">
      <alignment vertical="center"/>
    </xf>
    <xf numFmtId="39" fontId="77" fillId="0" borderId="67" xfId="16" applyNumberFormat="1" applyFont="1" applyFill="1" applyBorder="1" applyAlignment="1">
      <alignment vertical="center"/>
    </xf>
    <xf numFmtId="43" fontId="82" fillId="0" borderId="66" xfId="16" applyFont="1" applyFill="1" applyBorder="1" applyAlignment="1">
      <alignment vertical="center"/>
    </xf>
    <xf numFmtId="43" fontId="82" fillId="0" borderId="67" xfId="16" applyFont="1" applyFill="1" applyBorder="1" applyAlignment="1">
      <alignment vertical="center"/>
    </xf>
    <xf numFmtId="178" fontId="81" fillId="28" borderId="68" xfId="0" applyNumberFormat="1" applyFont="1" applyFill="1" applyBorder="1" applyAlignment="1">
      <alignment vertical="center"/>
    </xf>
    <xf numFmtId="0" fontId="18" fillId="0" borderId="120" xfId="0" applyFont="1" applyFill="1" applyBorder="1" applyAlignment="1">
      <alignment horizontal="center" vertical="center"/>
    </xf>
    <xf numFmtId="0" fontId="77" fillId="0" borderId="29" xfId="0" applyFont="1" applyFill="1" applyBorder="1" applyAlignment="1">
      <alignment horizontal="center" vertical="center"/>
    </xf>
    <xf numFmtId="2" fontId="77" fillId="0" borderId="75" xfId="0" applyNumberFormat="1" applyFont="1" applyFill="1" applyBorder="1" applyAlignment="1">
      <alignment horizontal="left" vertical="center"/>
    </xf>
    <xf numFmtId="178" fontId="77" fillId="0" borderId="75" xfId="16" applyNumberFormat="1" applyFont="1" applyFill="1" applyBorder="1" applyAlignment="1">
      <alignment horizontal="left" vertical="center"/>
    </xf>
    <xf numFmtId="171" fontId="77" fillId="0" borderId="24" xfId="0" applyNumberFormat="1" applyFont="1" applyFill="1" applyBorder="1" applyAlignment="1">
      <alignment vertical="center"/>
    </xf>
    <xf numFmtId="39" fontId="77" fillId="0" borderId="26" xfId="16" applyNumberFormat="1" applyFont="1" applyFill="1" applyBorder="1" applyAlignment="1">
      <alignment vertical="center"/>
    </xf>
    <xf numFmtId="43" fontId="82" fillId="0" borderId="24" xfId="16" applyFont="1" applyFill="1" applyBorder="1" applyAlignment="1">
      <alignment vertical="center"/>
    </xf>
    <xf numFmtId="178" fontId="82" fillId="0" borderId="24" xfId="0" applyNumberFormat="1" applyFont="1" applyFill="1" applyBorder="1" applyAlignment="1">
      <alignment vertical="center"/>
    </xf>
    <xf numFmtId="0" fontId="85" fillId="0" borderId="64" xfId="0" applyFont="1" applyFill="1" applyBorder="1" applyAlignment="1">
      <alignment vertical="center"/>
    </xf>
    <xf numFmtId="0" fontId="94" fillId="0" borderId="63" xfId="0" applyFont="1" applyFill="1" applyBorder="1" applyAlignment="1">
      <alignment horizontal="center"/>
    </xf>
    <xf numFmtId="0" fontId="95" fillId="0" borderId="0" xfId="0" applyFont="1" applyFill="1" applyBorder="1" applyAlignment="1">
      <alignment vertical="top" wrapText="1"/>
    </xf>
    <xf numFmtId="0" fontId="95" fillId="0" borderId="62" xfId="0" applyFont="1" applyFill="1" applyBorder="1" applyAlignment="1">
      <alignment wrapText="1"/>
    </xf>
    <xf numFmtId="0" fontId="95" fillId="0" borderId="62" xfId="0" applyNumberFormat="1" applyFont="1" applyFill="1" applyBorder="1" applyAlignment="1">
      <alignment wrapText="1"/>
    </xf>
    <xf numFmtId="0" fontId="95" fillId="0" borderId="64" xfId="0" applyFont="1" applyFill="1" applyBorder="1"/>
    <xf numFmtId="0" fontId="85" fillId="0" borderId="0" xfId="0" applyFont="1" applyFill="1" applyBorder="1"/>
    <xf numFmtId="0" fontId="85" fillId="0" borderId="0" xfId="0" applyFont="1" applyFill="1"/>
    <xf numFmtId="0" fontId="95" fillId="0" borderId="0" xfId="0" applyFont="1" applyFill="1" applyBorder="1" applyAlignment="1">
      <alignment wrapText="1"/>
    </xf>
    <xf numFmtId="0" fontId="95" fillId="0" borderId="0" xfId="0" applyNumberFormat="1" applyFont="1" applyFill="1" applyBorder="1" applyAlignment="1">
      <alignment wrapText="1"/>
    </xf>
    <xf numFmtId="178" fontId="95" fillId="0" borderId="0" xfId="0" applyNumberFormat="1" applyFont="1" applyFill="1" applyBorder="1" applyAlignment="1">
      <alignment wrapText="1"/>
    </xf>
    <xf numFmtId="0" fontId="95" fillId="0" borderId="34" xfId="0" applyNumberFormat="1" applyFont="1" applyFill="1" applyBorder="1" applyAlignment="1">
      <alignment wrapText="1"/>
    </xf>
    <xf numFmtId="0" fontId="95" fillId="0" borderId="95" xfId="0" applyFont="1" applyFill="1" applyBorder="1"/>
    <xf numFmtId="3" fontId="48" fillId="0" borderId="0" xfId="20" applyNumberFormat="1" applyFont="1" applyFill="1" applyBorder="1" applyAlignment="1" applyProtection="1">
      <alignment horizontal="right" vertical="center"/>
      <protection locked="0"/>
    </xf>
    <xf numFmtId="167" fontId="48" fillId="0" borderId="32" xfId="4" applyNumberFormat="1" applyFont="1" applyFill="1" applyBorder="1" applyAlignment="1" applyProtection="1">
      <alignment horizontal="center" vertical="center"/>
      <protection locked="0"/>
    </xf>
    <xf numFmtId="4" fontId="50" fillId="0" borderId="32" xfId="4" applyNumberFormat="1" applyFont="1" applyFill="1" applyBorder="1" applyAlignment="1" applyProtection="1">
      <alignment horizontal="center" vertical="center"/>
      <protection locked="0"/>
    </xf>
    <xf numFmtId="2" fontId="48" fillId="0" borderId="32" xfId="4" applyNumberFormat="1" applyFont="1" applyFill="1" applyBorder="1" applyAlignment="1" applyProtection="1">
      <alignment horizontal="right" vertical="center"/>
      <protection locked="0"/>
    </xf>
    <xf numFmtId="2" fontId="48" fillId="0" borderId="0" xfId="4" applyNumberFormat="1" applyFont="1" applyFill="1" applyBorder="1" applyAlignment="1" applyProtection="1">
      <alignment horizontal="right" vertical="center"/>
      <protection locked="0"/>
    </xf>
    <xf numFmtId="167" fontId="48" fillId="0" borderId="0" xfId="4" applyNumberFormat="1" applyFont="1" applyFill="1" applyBorder="1" applyAlignment="1" applyProtection="1">
      <alignment horizontal="center" vertical="center"/>
      <protection locked="0"/>
    </xf>
    <xf numFmtId="4" fontId="48" fillId="0" borderId="0" xfId="4" applyNumberFormat="1" applyFont="1" applyFill="1" applyBorder="1" applyAlignment="1" applyProtection="1">
      <alignment horizontal="center" vertical="center"/>
      <protection locked="0"/>
    </xf>
    <xf numFmtId="3" fontId="48" fillId="0" borderId="0" xfId="20" applyNumberFormat="1" applyFont="1" applyFill="1" applyBorder="1" applyAlignment="1" applyProtection="1">
      <alignment horizontal="center" vertical="center"/>
      <protection locked="0"/>
    </xf>
    <xf numFmtId="167" fontId="48" fillId="0" borderId="0" xfId="20" applyNumberFormat="1" applyFont="1" applyFill="1" applyBorder="1" applyAlignment="1" applyProtection="1">
      <alignment horizontal="right" vertical="center"/>
      <protection locked="0"/>
    </xf>
    <xf numFmtId="4" fontId="48" fillId="0" borderId="64" xfId="4" applyNumberFormat="1" applyFont="1" applyFill="1" applyBorder="1" applyAlignment="1" applyProtection="1">
      <alignment horizontal="center" vertical="center"/>
      <protection locked="0"/>
    </xf>
    <xf numFmtId="0" fontId="85" fillId="0" borderId="63" xfId="0" applyFont="1" applyFill="1" applyBorder="1" applyAlignment="1">
      <alignment horizontal="center"/>
    </xf>
    <xf numFmtId="0" fontId="95" fillId="0" borderId="0" xfId="0" applyFont="1" applyFill="1" applyBorder="1" applyAlignment="1">
      <alignment horizontal="left" vertical="top"/>
    </xf>
    <xf numFmtId="0" fontId="95" fillId="0" borderId="0" xfId="0" applyFont="1" applyFill="1" applyBorder="1"/>
    <xf numFmtId="0" fontId="79" fillId="0" borderId="66" xfId="0" applyFont="1" applyBorder="1" applyAlignment="1">
      <alignment horizontal="center"/>
    </xf>
    <xf numFmtId="0" fontId="96" fillId="0" borderId="67" xfId="0" applyFont="1" applyBorder="1"/>
    <xf numFmtId="3" fontId="48" fillId="0" borderId="67" xfId="20" applyNumberFormat="1" applyFont="1" applyFill="1" applyBorder="1" applyAlignment="1" applyProtection="1">
      <alignment horizontal="center" vertical="center"/>
      <protection locked="0"/>
    </xf>
    <xf numFmtId="167" fontId="48" fillId="0" borderId="67" xfId="20" applyNumberFormat="1" applyFont="1" applyFill="1" applyBorder="1" applyAlignment="1" applyProtection="1">
      <alignment horizontal="right" vertical="center"/>
      <protection locked="0"/>
    </xf>
    <xf numFmtId="3" fontId="48" fillId="0" borderId="67" xfId="20" applyNumberFormat="1" applyFont="1" applyFill="1" applyBorder="1" applyAlignment="1" applyProtection="1">
      <alignment horizontal="right" vertical="center"/>
      <protection locked="0"/>
    </xf>
    <xf numFmtId="167" fontId="48" fillId="0" borderId="67" xfId="4" applyNumberFormat="1" applyFont="1" applyFill="1" applyBorder="1" applyAlignment="1" applyProtection="1">
      <alignment horizontal="center" vertical="center"/>
      <protection locked="0"/>
    </xf>
    <xf numFmtId="4" fontId="48" fillId="0" borderId="67" xfId="4" applyNumberFormat="1" applyFont="1" applyFill="1" applyBorder="1" applyAlignment="1" applyProtection="1">
      <alignment horizontal="center" vertical="center"/>
      <protection locked="0"/>
    </xf>
    <xf numFmtId="2" fontId="48" fillId="0" borderId="67" xfId="4" applyNumberFormat="1" applyFont="1" applyFill="1" applyBorder="1" applyAlignment="1" applyProtection="1">
      <alignment horizontal="right" vertical="center"/>
      <protection locked="0"/>
    </xf>
    <xf numFmtId="4" fontId="48" fillId="0" borderId="68" xfId="4" applyNumberFormat="1" applyFont="1" applyFill="1" applyBorder="1" applyAlignment="1" applyProtection="1">
      <alignment horizontal="center" vertical="center"/>
      <protection locked="0"/>
    </xf>
    <xf numFmtId="0" fontId="79" fillId="0" borderId="0" xfId="0" applyFont="1" applyBorder="1" applyAlignment="1">
      <alignment horizontal="center"/>
    </xf>
    <xf numFmtId="3" fontId="97" fillId="0" borderId="0" xfId="20" applyNumberFormat="1" applyFont="1" applyFill="1" applyBorder="1" applyAlignment="1" applyProtection="1">
      <alignment horizontal="left" vertical="center"/>
      <protection locked="0"/>
    </xf>
    <xf numFmtId="167" fontId="97" fillId="0" borderId="0" xfId="20" applyNumberFormat="1" applyFont="1" applyFill="1" applyBorder="1" applyAlignment="1" applyProtection="1">
      <alignment horizontal="right" vertical="center"/>
      <protection locked="0"/>
    </xf>
    <xf numFmtId="3" fontId="97" fillId="0" borderId="0" xfId="20" applyNumberFormat="1" applyFont="1" applyFill="1" applyBorder="1" applyAlignment="1" applyProtection="1">
      <alignment horizontal="right" vertical="center"/>
      <protection locked="0"/>
    </xf>
    <xf numFmtId="167" fontId="97" fillId="0" borderId="0" xfId="4" applyNumberFormat="1" applyFont="1" applyFill="1" applyAlignment="1" applyProtection="1">
      <alignment horizontal="center" vertical="center"/>
      <protection locked="0"/>
    </xf>
    <xf numFmtId="2" fontId="97" fillId="0" borderId="0" xfId="4" applyNumberFormat="1" applyFont="1" applyFill="1" applyAlignment="1" applyProtection="1">
      <alignment horizontal="right" vertical="center"/>
      <protection locked="0"/>
    </xf>
    <xf numFmtId="167" fontId="97" fillId="0" borderId="0" xfId="4" applyNumberFormat="1" applyFont="1" applyFill="1" applyAlignment="1" applyProtection="1">
      <alignment horizontal="right" vertical="center"/>
      <protection locked="0"/>
    </xf>
    <xf numFmtId="0" fontId="79" fillId="0" borderId="0" xfId="0" applyFont="1" applyAlignment="1">
      <alignment horizontal="center"/>
    </xf>
    <xf numFmtId="0" fontId="79" fillId="0" borderId="0" xfId="0" applyFont="1" applyFill="1" applyBorder="1"/>
    <xf numFmtId="0" fontId="79" fillId="0" borderId="0" xfId="0" applyFont="1" applyBorder="1"/>
    <xf numFmtId="0" fontId="82" fillId="0" borderId="0" xfId="0" applyNumberFormat="1" applyFont="1" applyBorder="1"/>
    <xf numFmtId="0" fontId="79" fillId="0" borderId="0" xfId="0" applyFont="1" applyFill="1"/>
    <xf numFmtId="0" fontId="82" fillId="0" borderId="0" xfId="0" applyNumberFormat="1" applyFont="1"/>
    <xf numFmtId="0" fontId="80" fillId="2" borderId="63" xfId="0" applyFont="1" applyFill="1" applyBorder="1"/>
    <xf numFmtId="0" fontId="80" fillId="2" borderId="0" xfId="0" applyFont="1" applyFill="1" applyBorder="1"/>
    <xf numFmtId="0" fontId="78" fillId="2" borderId="63" xfId="0" applyFont="1" applyFill="1" applyBorder="1" applyAlignment="1">
      <alignment horizontal="center" vertical="center"/>
    </xf>
    <xf numFmtId="0" fontId="78" fillId="2" borderId="0" xfId="0" applyFont="1" applyFill="1" applyBorder="1" applyAlignment="1">
      <alignment horizontal="center" vertical="center"/>
    </xf>
    <xf numFmtId="0" fontId="78" fillId="2" borderId="64" xfId="0" applyFont="1" applyFill="1" applyBorder="1" applyAlignment="1">
      <alignment horizontal="center" vertical="center"/>
    </xf>
    <xf numFmtId="0" fontId="79" fillId="0" borderId="64" xfId="0" applyFont="1" applyBorder="1" applyAlignment="1">
      <alignment horizontal="center"/>
    </xf>
    <xf numFmtId="0" fontId="118" fillId="5" borderId="111" xfId="0" applyFont="1" applyFill="1" applyBorder="1" applyAlignment="1">
      <alignment vertical="center"/>
    </xf>
    <xf numFmtId="164" fontId="82" fillId="5" borderId="111" xfId="17" applyFont="1" applyFill="1" applyBorder="1" applyAlignment="1">
      <alignment vertical="center"/>
    </xf>
    <xf numFmtId="178" fontId="30" fillId="21" borderId="58" xfId="0" applyNumberFormat="1" applyFont="1" applyFill="1" applyBorder="1" applyAlignment="1">
      <alignment horizontal="center" vertical="center"/>
    </xf>
    <xf numFmtId="178" fontId="30" fillId="21" borderId="57" xfId="0" applyNumberFormat="1" applyFont="1" applyFill="1" applyBorder="1" applyAlignment="1">
      <alignment horizontal="center" vertical="center"/>
    </xf>
    <xf numFmtId="0" fontId="84" fillId="0" borderId="25" xfId="0" applyFont="1" applyFill="1" applyBorder="1" applyAlignment="1">
      <alignment horizontal="left" vertical="top"/>
    </xf>
    <xf numFmtId="3" fontId="48" fillId="0" borderId="0" xfId="20" applyNumberFormat="1" applyFont="1" applyFill="1" applyBorder="1" applyAlignment="1" applyProtection="1">
      <alignment horizontal="center" vertical="center"/>
      <protection locked="0"/>
    </xf>
    <xf numFmtId="4" fontId="48" fillId="0" borderId="0" xfId="4" applyNumberFormat="1" applyFont="1" applyFill="1" applyBorder="1" applyAlignment="1" applyProtection="1">
      <alignment horizontal="center" vertical="center"/>
      <protection locked="0"/>
    </xf>
    <xf numFmtId="0" fontId="30" fillId="51" borderId="68" xfId="0" applyFont="1" applyFill="1" applyBorder="1" applyAlignment="1">
      <alignment horizontal="center" vertical="center" wrapText="1"/>
    </xf>
    <xf numFmtId="0" fontId="30" fillId="11" borderId="0" xfId="0" applyFont="1" applyFill="1" applyBorder="1" applyAlignment="1">
      <alignment horizontal="center" vertical="center"/>
    </xf>
    <xf numFmtId="0" fontId="30" fillId="6" borderId="66" xfId="0" applyFont="1" applyFill="1" applyBorder="1" applyAlignment="1">
      <alignment vertical="center" wrapText="1"/>
    </xf>
    <xf numFmtId="0" fontId="30" fillId="6" borderId="67" xfId="0" applyFont="1" applyFill="1" applyBorder="1" applyAlignment="1">
      <alignment vertical="center" wrapText="1"/>
    </xf>
    <xf numFmtId="0" fontId="30" fillId="6" borderId="68" xfId="0" applyFont="1" applyFill="1" applyBorder="1" applyAlignment="1">
      <alignment vertical="center" wrapText="1"/>
    </xf>
    <xf numFmtId="0" fontId="81" fillId="6" borderId="66" xfId="0" applyFont="1" applyFill="1" applyBorder="1" applyAlignment="1">
      <alignment vertical="center" wrapText="1"/>
    </xf>
    <xf numFmtId="0" fontId="81" fillId="6" borderId="67" xfId="0" applyFont="1" applyFill="1" applyBorder="1" applyAlignment="1">
      <alignment vertical="center" wrapText="1"/>
    </xf>
    <xf numFmtId="0" fontId="81" fillId="5" borderId="147" xfId="0" applyFont="1" applyFill="1" applyBorder="1" applyAlignment="1">
      <alignment vertical="center"/>
    </xf>
    <xf numFmtId="0" fontId="82" fillId="5" borderId="119" xfId="0" applyFont="1" applyFill="1" applyBorder="1" applyAlignment="1">
      <alignment vertical="center"/>
    </xf>
    <xf numFmtId="0" fontId="81" fillId="5" borderId="119" xfId="0" applyFont="1" applyFill="1" applyBorder="1" applyAlignment="1">
      <alignment vertical="center"/>
    </xf>
    <xf numFmtId="0" fontId="81" fillId="26" borderId="119" xfId="0" applyFont="1" applyFill="1" applyBorder="1" applyAlignment="1">
      <alignment vertical="center"/>
    </xf>
    <xf numFmtId="0" fontId="81" fillId="26" borderId="114" xfId="0" applyFont="1" applyFill="1" applyBorder="1" applyAlignment="1">
      <alignment vertical="center"/>
    </xf>
    <xf numFmtId="0" fontId="81" fillId="26" borderId="124" xfId="0" applyFont="1" applyFill="1" applyBorder="1" applyAlignment="1">
      <alignment vertical="center"/>
    </xf>
    <xf numFmtId="0" fontId="77" fillId="0" borderId="30" xfId="0" applyFont="1" applyBorder="1" applyAlignment="1">
      <alignment horizontal="center"/>
    </xf>
    <xf numFmtId="0" fontId="80" fillId="2" borderId="28" xfId="0" applyFont="1" applyFill="1" applyBorder="1"/>
    <xf numFmtId="0" fontId="78" fillId="2" borderId="28" xfId="0" applyFont="1" applyFill="1" applyBorder="1" applyAlignment="1">
      <alignment horizontal="center" vertical="center"/>
    </xf>
    <xf numFmtId="0" fontId="77" fillId="0" borderId="33" xfId="0" applyFont="1" applyBorder="1" applyAlignment="1">
      <alignment horizontal="center"/>
    </xf>
    <xf numFmtId="0" fontId="79" fillId="0" borderId="27" xfId="0" applyFont="1" applyBorder="1"/>
    <xf numFmtId="0" fontId="79" fillId="0" borderId="28" xfId="0" applyFont="1" applyBorder="1"/>
    <xf numFmtId="0" fontId="79" fillId="0" borderId="28" xfId="0" applyFont="1" applyBorder="1" applyAlignment="1">
      <alignment horizontal="center"/>
    </xf>
    <xf numFmtId="0" fontId="81" fillId="6" borderId="129" xfId="0" applyFont="1" applyFill="1" applyBorder="1" applyAlignment="1">
      <alignment horizontal="center" vertical="center" wrapText="1"/>
    </xf>
    <xf numFmtId="0" fontId="81" fillId="6" borderId="29" xfId="0" applyFont="1" applyFill="1" applyBorder="1" applyAlignment="1">
      <alignment vertical="center" wrapText="1"/>
    </xf>
    <xf numFmtId="0" fontId="30" fillId="0" borderId="133" xfId="0" applyFont="1" applyBorder="1" applyAlignment="1">
      <alignment horizontal="center" vertical="center" wrapText="1"/>
    </xf>
    <xf numFmtId="0" fontId="83" fillId="0" borderId="134" xfId="0" applyFont="1" applyFill="1" applyBorder="1" applyAlignment="1">
      <alignment horizontal="left" vertical="top"/>
    </xf>
    <xf numFmtId="171" fontId="79" fillId="0" borderId="24" xfId="0" applyNumberFormat="1" applyFont="1" applyBorder="1" applyAlignment="1">
      <alignment vertical="center"/>
    </xf>
    <xf numFmtId="0" fontId="84" fillId="0" borderId="24" xfId="0" applyFont="1" applyBorder="1" applyAlignment="1">
      <alignment horizontal="left" vertical="top" wrapText="1"/>
    </xf>
    <xf numFmtId="0" fontId="79" fillId="0" borderId="24" xfId="0" applyNumberFormat="1" applyFont="1" applyBorder="1" applyAlignment="1">
      <alignment vertical="center" wrapText="1"/>
    </xf>
    <xf numFmtId="0" fontId="86" fillId="0" borderId="24" xfId="0" applyFont="1" applyBorder="1" applyAlignment="1">
      <alignment horizontal="left" vertical="top" wrapText="1"/>
    </xf>
    <xf numFmtId="0" fontId="83" fillId="0" borderId="24" xfId="0" applyFont="1" applyFill="1" applyBorder="1" applyAlignment="1">
      <alignment horizontal="left" vertical="top"/>
    </xf>
    <xf numFmtId="0" fontId="84" fillId="0" borderId="75" xfId="0" applyFont="1" applyBorder="1" applyAlignment="1">
      <alignment horizontal="left" vertical="top" wrapText="1"/>
    </xf>
    <xf numFmtId="0" fontId="90" fillId="2" borderId="24" xfId="0" applyFont="1" applyFill="1" applyBorder="1" applyAlignment="1">
      <alignment horizontal="left" vertical="center" wrapText="1"/>
    </xf>
    <xf numFmtId="0" fontId="18" fillId="0" borderId="30" xfId="0" applyFont="1" applyFill="1" applyBorder="1" applyAlignment="1">
      <alignment horizontal="center" vertical="center"/>
    </xf>
    <xf numFmtId="0" fontId="18" fillId="0" borderId="148" xfId="0" applyFont="1" applyFill="1" applyBorder="1" applyAlignment="1">
      <alignment horizontal="center" vertical="center"/>
    </xf>
    <xf numFmtId="0" fontId="18" fillId="0" borderId="24" xfId="0" applyFont="1" applyFill="1" applyBorder="1" applyAlignment="1">
      <alignment horizontal="center" vertical="center"/>
    </xf>
    <xf numFmtId="0" fontId="85" fillId="0" borderId="28" xfId="0" applyFont="1" applyFill="1" applyBorder="1" applyAlignment="1">
      <alignment vertical="center"/>
    </xf>
    <xf numFmtId="0" fontId="94" fillId="0" borderId="30" xfId="0" applyFont="1" applyFill="1" applyBorder="1" applyAlignment="1">
      <alignment horizontal="center"/>
    </xf>
    <xf numFmtId="0" fontId="95" fillId="0" borderId="28" xfId="0" applyFont="1" applyFill="1" applyBorder="1"/>
    <xf numFmtId="0" fontId="95" fillId="0" borderId="29" xfId="0" applyFont="1" applyFill="1" applyBorder="1"/>
    <xf numFmtId="4" fontId="48" fillId="0" borderId="28" xfId="4" applyNumberFormat="1" applyFont="1" applyFill="1" applyBorder="1" applyAlignment="1" applyProtection="1">
      <alignment horizontal="center" vertical="center"/>
      <protection locked="0"/>
    </xf>
    <xf numFmtId="3" fontId="48" fillId="0" borderId="34" xfId="20" applyNumberFormat="1" applyFont="1" applyFill="1" applyBorder="1" applyAlignment="1" applyProtection="1">
      <alignment horizontal="center" vertical="center"/>
      <protection locked="0"/>
    </xf>
    <xf numFmtId="167" fontId="48" fillId="0" borderId="34" xfId="20" applyNumberFormat="1" applyFont="1" applyFill="1" applyBorder="1" applyAlignment="1" applyProtection="1">
      <alignment horizontal="right" vertical="center"/>
      <protection locked="0"/>
    </xf>
    <xf numFmtId="3" fontId="48" fillId="0" borderId="34" xfId="20" applyNumberFormat="1" applyFont="1" applyFill="1" applyBorder="1" applyAlignment="1" applyProtection="1">
      <alignment horizontal="right" vertical="center"/>
      <protection locked="0"/>
    </xf>
    <xf numFmtId="167" fontId="48" fillId="0" borderId="34" xfId="4" applyNumberFormat="1" applyFont="1" applyFill="1" applyBorder="1" applyAlignment="1" applyProtection="1">
      <alignment horizontal="center" vertical="center"/>
      <protection locked="0"/>
    </xf>
    <xf numFmtId="4" fontId="48" fillId="0" borderId="34" xfId="4" applyNumberFormat="1" applyFont="1" applyFill="1" applyBorder="1" applyAlignment="1" applyProtection="1">
      <alignment horizontal="center" vertical="center"/>
      <protection locked="0"/>
    </xf>
    <xf numFmtId="2" fontId="48" fillId="0" borderId="34" xfId="4" applyNumberFormat="1" applyFont="1" applyFill="1" applyBorder="1" applyAlignment="1" applyProtection="1">
      <alignment horizontal="right" vertical="center"/>
      <protection locked="0"/>
    </xf>
    <xf numFmtId="4" fontId="48" fillId="0" borderId="29" xfId="4" applyNumberFormat="1" applyFont="1" applyFill="1" applyBorder="1" applyAlignment="1" applyProtection="1">
      <alignment horizontal="center" vertical="center"/>
      <protection locked="0"/>
    </xf>
    <xf numFmtId="0" fontId="1" fillId="3" borderId="10" xfId="0" applyNumberFormat="1" applyFont="1" applyFill="1" applyBorder="1" applyAlignment="1" applyProtection="1">
      <protection locked="0"/>
    </xf>
    <xf numFmtId="49" fontId="1" fillId="3" borderId="11" xfId="0" applyNumberFormat="1" applyFont="1" applyFill="1" applyBorder="1" applyAlignment="1" applyProtection="1">
      <protection locked="0"/>
    </xf>
    <xf numFmtId="49" fontId="1" fillId="3" borderId="12" xfId="0" applyNumberFormat="1" applyFont="1" applyFill="1" applyBorder="1" applyAlignment="1" applyProtection="1">
      <protection locked="0"/>
    </xf>
    <xf numFmtId="0" fontId="120" fillId="0" borderId="0" xfId="0" applyFont="1" applyAlignment="1">
      <alignment vertical="center" wrapText="1"/>
    </xf>
    <xf numFmtId="0" fontId="120" fillId="0" borderId="0" xfId="0" applyFont="1" applyAlignment="1">
      <alignment horizontal="left" vertical="center" wrapText="1"/>
    </xf>
    <xf numFmtId="190" fontId="120" fillId="0" borderId="0" xfId="0" applyNumberFormat="1" applyFont="1" applyAlignment="1">
      <alignment vertical="center" wrapText="1"/>
    </xf>
    <xf numFmtId="0" fontId="120" fillId="0" borderId="0" xfId="0" applyFont="1" applyAlignment="1" applyProtection="1">
      <alignment vertical="center" wrapText="1"/>
      <protection locked="0"/>
    </xf>
    <xf numFmtId="0" fontId="46" fillId="0" borderId="0" xfId="0" applyFont="1" applyAlignment="1" applyProtection="1">
      <alignment vertical="center" wrapText="1"/>
      <protection locked="0"/>
    </xf>
    <xf numFmtId="15" fontId="120" fillId="0" borderId="0" xfId="0" applyNumberFormat="1" applyFont="1" applyAlignment="1" applyProtection="1">
      <alignment horizontal="left" vertical="center" wrapText="1"/>
      <protection locked="0"/>
    </xf>
    <xf numFmtId="0" fontId="49" fillId="0" borderId="0" xfId="0" applyFont="1" applyAlignment="1">
      <alignment vertical="center" wrapText="1"/>
    </xf>
    <xf numFmtId="0" fontId="31" fillId="0" borderId="0" xfId="0" applyFont="1" applyBorder="1" applyAlignment="1">
      <alignment vertical="center" wrapText="1"/>
    </xf>
    <xf numFmtId="0" fontId="31" fillId="0" borderId="0" xfId="0" applyFont="1" applyBorder="1" applyAlignment="1">
      <alignment horizontal="center" vertical="center" wrapText="1"/>
    </xf>
    <xf numFmtId="190" fontId="31" fillId="0" borderId="0" xfId="0" applyNumberFormat="1" applyFont="1" applyBorder="1" applyAlignment="1">
      <alignment horizontal="center" vertical="center" wrapText="1"/>
    </xf>
    <xf numFmtId="190" fontId="31" fillId="0" borderId="0" xfId="0" applyNumberFormat="1" applyFont="1" applyBorder="1" applyAlignment="1">
      <alignment horizontal="left" vertical="center" wrapText="1"/>
    </xf>
    <xf numFmtId="0" fontId="120" fillId="0" borderId="0" xfId="0" applyFont="1" applyAlignment="1" applyProtection="1">
      <alignment horizontal="center" vertical="center" wrapText="1"/>
      <protection locked="0"/>
    </xf>
    <xf numFmtId="173" fontId="120" fillId="0" borderId="0" xfId="0" applyNumberFormat="1" applyFont="1" applyAlignment="1" applyProtection="1">
      <alignment vertical="center" wrapText="1"/>
      <protection locked="0"/>
    </xf>
    <xf numFmtId="0" fontId="46" fillId="0" borderId="0" xfId="0" applyFont="1" applyBorder="1" applyAlignment="1" applyProtection="1">
      <alignment horizontal="right" vertical="center" wrapText="1"/>
      <protection locked="0"/>
    </xf>
    <xf numFmtId="4" fontId="120" fillId="0" borderId="0" xfId="0" applyNumberFormat="1" applyFont="1" applyBorder="1" applyAlignment="1" applyProtection="1">
      <alignment horizontal="right" vertical="center" wrapText="1"/>
      <protection locked="0"/>
    </xf>
    <xf numFmtId="0" fontId="46" fillId="2" borderId="0" xfId="0" applyFont="1" applyFill="1" applyBorder="1" applyAlignment="1">
      <alignment horizontal="center" vertical="center" wrapText="1"/>
    </xf>
    <xf numFmtId="0" fontId="90" fillId="0" borderId="0" xfId="0" applyFont="1" applyAlignment="1">
      <alignment vertical="center" wrapText="1"/>
    </xf>
    <xf numFmtId="0" fontId="90" fillId="0" borderId="0" xfId="0" applyFont="1" applyAlignment="1">
      <alignment vertical="top" wrapText="1"/>
    </xf>
    <xf numFmtId="0" fontId="28" fillId="0" borderId="0" xfId="0" applyFont="1" applyAlignment="1">
      <alignment horizontal="left" vertical="center" wrapText="1"/>
    </xf>
    <xf numFmtId="0" fontId="47" fillId="0" borderId="0" xfId="0" applyFont="1" applyAlignment="1">
      <alignment vertical="center" wrapText="1"/>
    </xf>
    <xf numFmtId="190" fontId="47" fillId="0" borderId="0" xfId="0" applyNumberFormat="1" applyFont="1" applyAlignment="1">
      <alignment vertical="center" wrapText="1"/>
    </xf>
    <xf numFmtId="0" fontId="49" fillId="0" borderId="34" xfId="0" applyFont="1" applyBorder="1" applyAlignment="1">
      <alignment vertical="center" wrapText="1"/>
    </xf>
    <xf numFmtId="0" fontId="31" fillId="0" borderId="0" xfId="0" applyFont="1" applyAlignment="1">
      <alignment vertical="center" wrapText="1"/>
    </xf>
    <xf numFmtId="3" fontId="70" fillId="0" borderId="0" xfId="0" applyNumberFormat="1" applyFont="1" applyAlignment="1">
      <alignment vertical="center" wrapText="1"/>
    </xf>
    <xf numFmtId="3" fontId="49" fillId="0" borderId="0" xfId="0" applyNumberFormat="1" applyFont="1" applyAlignment="1">
      <alignment horizontal="center" vertical="center" wrapText="1"/>
    </xf>
    <xf numFmtId="0" fontId="49" fillId="0" borderId="0" xfId="0" applyFont="1" applyAlignment="1">
      <alignment horizontal="center" vertical="center" wrapText="1"/>
    </xf>
    <xf numFmtId="0" fontId="49" fillId="0" borderId="0" xfId="0" applyFont="1" applyBorder="1" applyAlignment="1">
      <alignment vertical="center" wrapText="1"/>
    </xf>
    <xf numFmtId="0" fontId="90" fillId="0" borderId="0" xfId="0" applyFont="1" applyBorder="1" applyAlignment="1">
      <alignment vertical="center" wrapText="1"/>
    </xf>
    <xf numFmtId="0" fontId="70" fillId="0" borderId="0" xfId="0" applyFont="1" applyAlignment="1">
      <alignment vertical="center" wrapText="1"/>
    </xf>
    <xf numFmtId="0" fontId="120" fillId="0" borderId="0" xfId="0" applyFont="1" applyFill="1" applyAlignment="1">
      <alignment vertical="center" wrapText="1"/>
    </xf>
    <xf numFmtId="0" fontId="19" fillId="0" borderId="0" xfId="0" applyFont="1" applyFill="1" applyBorder="1" applyAlignment="1">
      <alignment vertical="center"/>
    </xf>
    <xf numFmtId="0" fontId="17" fillId="0" borderId="0" xfId="0" applyFont="1" applyFill="1" applyBorder="1" applyAlignment="1">
      <alignment vertical="center"/>
    </xf>
    <xf numFmtId="0" fontId="46" fillId="0" borderId="0" xfId="0" applyFont="1" applyBorder="1" applyAlignment="1">
      <alignment wrapText="1"/>
    </xf>
    <xf numFmtId="0" fontId="32" fillId="26" borderId="39" xfId="0" applyFont="1" applyFill="1" applyBorder="1" applyAlignment="1">
      <alignment horizontal="center" vertical="center"/>
    </xf>
    <xf numFmtId="0" fontId="31" fillId="0" borderId="24" xfId="0" applyFont="1" applyBorder="1" applyAlignment="1">
      <alignment horizontal="center" vertical="center" wrapText="1"/>
    </xf>
    <xf numFmtId="0" fontId="29" fillId="2" borderId="0" xfId="0" applyFont="1" applyFill="1" applyAlignment="1">
      <alignment horizontal="center" vertical="center"/>
    </xf>
    <xf numFmtId="0" fontId="28" fillId="2" borderId="0" xfId="0" applyFont="1" applyFill="1" applyAlignment="1">
      <alignment horizontal="center" vertical="center"/>
    </xf>
    <xf numFmtId="0" fontId="49" fillId="0" borderId="32" xfId="0" applyFont="1" applyBorder="1" applyAlignment="1">
      <alignment vertical="center" wrapText="1"/>
    </xf>
    <xf numFmtId="0" fontId="18" fillId="0" borderId="0" xfId="0" applyFont="1" applyFill="1" applyBorder="1" applyAlignment="1">
      <alignment vertical="center"/>
    </xf>
    <xf numFmtId="0" fontId="120" fillId="0" borderId="24" xfId="0" applyFont="1" applyBorder="1" applyAlignment="1">
      <alignment vertical="center" wrapText="1"/>
    </xf>
    <xf numFmtId="0" fontId="49" fillId="0" borderId="24" xfId="0" applyFont="1" applyBorder="1" applyAlignment="1">
      <alignment vertical="center" wrapText="1"/>
    </xf>
    <xf numFmtId="4" fontId="24" fillId="2" borderId="34" xfId="0" applyNumberFormat="1" applyFont="1" applyFill="1" applyBorder="1" applyAlignment="1">
      <alignment horizontal="right" vertical="center"/>
    </xf>
    <xf numFmtId="0" fontId="25" fillId="0" borderId="0" xfId="0" applyFont="1" applyAlignment="1">
      <alignment vertical="center"/>
    </xf>
    <xf numFmtId="0" fontId="24" fillId="2" borderId="34" xfId="0" applyFont="1" applyFill="1" applyBorder="1" applyAlignment="1">
      <alignment vertical="center"/>
    </xf>
    <xf numFmtId="0" fontId="29" fillId="2" borderId="0" xfId="0" applyFont="1" applyFill="1" applyAlignment="1">
      <alignment vertical="center"/>
    </xf>
    <xf numFmtId="43" fontId="28" fillId="2" borderId="0" xfId="16" applyFont="1" applyFill="1" applyAlignment="1">
      <alignment vertical="center"/>
    </xf>
    <xf numFmtId="0" fontId="17" fillId="0" borderId="0" xfId="0" applyFont="1" applyBorder="1"/>
    <xf numFmtId="0" fontId="26" fillId="2" borderId="0" xfId="0" applyFont="1" applyFill="1" applyAlignment="1">
      <alignment horizontal="center" vertical="center"/>
    </xf>
    <xf numFmtId="43" fontId="26" fillId="2" borderId="0" xfId="16" applyFont="1" applyFill="1" applyAlignment="1">
      <alignment vertical="center"/>
    </xf>
    <xf numFmtId="0" fontId="28" fillId="2" borderId="0" xfId="0" applyFont="1" applyFill="1" applyAlignment="1">
      <alignment vertical="center"/>
    </xf>
    <xf numFmtId="0" fontId="31" fillId="0" borderId="24" xfId="0" applyFont="1" applyBorder="1" applyAlignment="1">
      <alignment vertical="center" wrapText="1"/>
    </xf>
    <xf numFmtId="0" fontId="120" fillId="0" borderId="0" xfId="0" applyFont="1" applyAlignment="1">
      <alignment horizontal="center" vertical="center" wrapText="1"/>
    </xf>
    <xf numFmtId="0" fontId="31" fillId="0" borderId="25" xfId="0" applyFont="1" applyBorder="1" applyAlignment="1">
      <alignment horizontal="center" vertical="center" wrapText="1"/>
    </xf>
    <xf numFmtId="0" fontId="28" fillId="2" borderId="0" xfId="0" applyFont="1" applyFill="1" applyAlignment="1">
      <alignment horizontal="center" vertical="center"/>
    </xf>
    <xf numFmtId="0" fontId="29" fillId="2" borderId="0" xfId="0" applyFont="1" applyFill="1" applyAlignment="1">
      <alignment horizontal="center" vertical="center"/>
    </xf>
    <xf numFmtId="0" fontId="70" fillId="0" borderId="0" xfId="0" applyFont="1" applyAlignment="1">
      <alignment horizontal="center" vertical="center" wrapText="1"/>
    </xf>
    <xf numFmtId="0" fontId="47" fillId="0" borderId="0" xfId="0" applyFont="1" applyAlignment="1">
      <alignment horizontal="center" vertical="center" wrapText="1"/>
    </xf>
    <xf numFmtId="0" fontId="49" fillId="0" borderId="0" xfId="0" applyFont="1" applyAlignment="1">
      <alignment horizontal="center" vertical="center" wrapText="1"/>
    </xf>
    <xf numFmtId="0" fontId="49" fillId="0" borderId="0" xfId="0" applyFont="1" applyAlignment="1">
      <alignment vertical="center" wrapText="1"/>
    </xf>
    <xf numFmtId="0" fontId="71" fillId="19" borderId="30" xfId="4" applyFont="1" applyFill="1" applyBorder="1" applyAlignment="1">
      <alignment horizontal="center"/>
    </xf>
    <xf numFmtId="0" fontId="71" fillId="19" borderId="0" xfId="4" applyFont="1" applyFill="1" applyBorder="1" applyAlignment="1">
      <alignment horizontal="center"/>
    </xf>
    <xf numFmtId="0" fontId="71" fillId="19" borderId="0" xfId="7" applyFont="1" applyFill="1" applyBorder="1" applyAlignment="1">
      <alignment horizontal="center" vertical="center" wrapText="1"/>
    </xf>
    <xf numFmtId="3" fontId="49" fillId="0" borderId="34" xfId="0" applyNumberFormat="1" applyFont="1" applyBorder="1" applyAlignment="1">
      <alignment horizontal="center" vertical="center" wrapText="1"/>
    </xf>
    <xf numFmtId="0" fontId="123" fillId="52" borderId="0" xfId="0" applyFont="1" applyFill="1" applyAlignment="1">
      <alignment horizontal="right"/>
    </xf>
    <xf numFmtId="0" fontId="123" fillId="2" borderId="0" xfId="0" applyFont="1" applyFill="1" applyAlignment="1">
      <alignment horizontal="right"/>
    </xf>
    <xf numFmtId="166" fontId="123" fillId="2" borderId="0" xfId="0" applyNumberFormat="1" applyFont="1" applyFill="1" applyBorder="1" applyAlignment="1" applyProtection="1">
      <alignment horizontal="right" vertical="center"/>
      <protection hidden="1"/>
    </xf>
    <xf numFmtId="0" fontId="46" fillId="53" borderId="152" xfId="0" applyFont="1" applyFill="1" applyBorder="1" applyAlignment="1">
      <alignment horizontal="center" vertical="center" wrapText="1"/>
    </xf>
    <xf numFmtId="192" fontId="46" fillId="53" borderId="152" xfId="16" applyNumberFormat="1" applyFont="1" applyFill="1" applyBorder="1" applyAlignment="1" applyProtection="1">
      <alignment horizontal="center" vertical="center" wrapText="1"/>
    </xf>
    <xf numFmtId="0" fontId="49" fillId="0" borderId="34" xfId="0" applyFont="1" applyBorder="1" applyAlignment="1">
      <alignment vertical="center" wrapText="1"/>
    </xf>
    <xf numFmtId="0" fontId="124" fillId="2" borderId="0" xfId="0" applyFont="1" applyFill="1" applyAlignment="1">
      <alignment horizontal="justify" vertical="center"/>
    </xf>
    <xf numFmtId="0" fontId="124" fillId="2" borderId="0" xfId="0" applyFont="1" applyFill="1" applyAlignment="1">
      <alignment vertical="center"/>
    </xf>
    <xf numFmtId="0" fontId="124" fillId="0" borderId="0" xfId="0" applyFont="1" applyFill="1" applyAlignment="1">
      <alignment vertical="center"/>
    </xf>
    <xf numFmtId="0" fontId="124" fillId="2" borderId="0" xfId="0" applyFont="1" applyFill="1" applyBorder="1" applyAlignment="1">
      <alignment vertical="center"/>
    </xf>
    <xf numFmtId="0" fontId="124" fillId="0" borderId="0" xfId="0" applyFont="1" applyFill="1" applyBorder="1" applyAlignment="1">
      <alignment vertical="center"/>
    </xf>
    <xf numFmtId="166" fontId="1" fillId="3" borderId="10" xfId="0" applyNumberFormat="1" applyFont="1" applyFill="1" applyBorder="1" applyAlignment="1" applyProtection="1">
      <alignment horizontal="center"/>
      <protection locked="0"/>
    </xf>
    <xf numFmtId="166" fontId="1" fillId="3" borderId="11" xfId="0" applyNumberFormat="1" applyFont="1" applyFill="1" applyBorder="1" applyAlignment="1" applyProtection="1">
      <alignment horizontal="center"/>
      <protection locked="0"/>
    </xf>
    <xf numFmtId="166" fontId="1" fillId="3" borderId="12" xfId="0" applyNumberFormat="1" applyFont="1" applyFill="1" applyBorder="1" applyAlignment="1" applyProtection="1">
      <alignment horizontal="center"/>
      <protection locked="0"/>
    </xf>
    <xf numFmtId="0" fontId="1" fillId="3" borderId="10" xfId="0" applyFont="1" applyFill="1" applyBorder="1" applyAlignment="1" applyProtection="1">
      <alignment horizontal="center"/>
      <protection locked="0"/>
    </xf>
    <xf numFmtId="0" fontId="1" fillId="3" borderId="11" xfId="0" applyFont="1" applyFill="1" applyBorder="1" applyAlignment="1" applyProtection="1">
      <alignment horizontal="center"/>
      <protection locked="0"/>
    </xf>
    <xf numFmtId="0" fontId="1" fillId="3" borderId="12" xfId="0" applyFont="1" applyFill="1" applyBorder="1" applyAlignment="1" applyProtection="1">
      <alignment horizontal="center"/>
      <protection locked="0"/>
    </xf>
    <xf numFmtId="166" fontId="1" fillId="3" borderId="10" xfId="0" applyNumberFormat="1" applyFont="1" applyFill="1" applyBorder="1" applyAlignment="1" applyProtection="1">
      <alignment horizontal="center"/>
    </xf>
    <xf numFmtId="166" fontId="1" fillId="3" borderId="11" xfId="0" applyNumberFormat="1" applyFont="1" applyFill="1" applyBorder="1" applyAlignment="1" applyProtection="1">
      <alignment horizontal="center"/>
    </xf>
    <xf numFmtId="166" fontId="1" fillId="3" borderId="12" xfId="0" applyNumberFormat="1" applyFont="1" applyFill="1" applyBorder="1" applyAlignment="1" applyProtection="1">
      <alignment horizontal="center"/>
    </xf>
    <xf numFmtId="0" fontId="4" fillId="3" borderId="0" xfId="0" applyFont="1" applyFill="1" applyBorder="1" applyAlignment="1">
      <alignment horizontal="center"/>
    </xf>
    <xf numFmtId="0" fontId="1" fillId="3" borderId="104" xfId="0" applyFont="1" applyFill="1" applyBorder="1" applyAlignment="1" applyProtection="1">
      <alignment horizontal="center" vertical="center"/>
      <protection locked="0"/>
    </xf>
    <xf numFmtId="0" fontId="1" fillId="3" borderId="0" xfId="0" applyFont="1" applyFill="1" applyBorder="1" applyAlignment="1" applyProtection="1">
      <alignment horizontal="center" vertical="center"/>
      <protection locked="0"/>
    </xf>
    <xf numFmtId="0" fontId="1" fillId="3" borderId="105" xfId="0" applyFont="1" applyFill="1" applyBorder="1" applyAlignment="1" applyProtection="1">
      <alignment horizontal="center" vertical="center"/>
      <protection locked="0"/>
    </xf>
    <xf numFmtId="166" fontId="12" fillId="4" borderId="21" xfId="0" applyNumberFormat="1" applyFont="1" applyFill="1" applyBorder="1" applyAlignment="1">
      <alignment horizontal="center"/>
    </xf>
    <xf numFmtId="166" fontId="12" fillId="4" borderId="22" xfId="0" applyNumberFormat="1" applyFont="1" applyFill="1" applyBorder="1" applyAlignment="1">
      <alignment horizontal="center"/>
    </xf>
    <xf numFmtId="166" fontId="12" fillId="4" borderId="23" xfId="0" applyNumberFormat="1" applyFont="1" applyFill="1" applyBorder="1" applyAlignment="1">
      <alignment horizontal="center"/>
    </xf>
    <xf numFmtId="0" fontId="4" fillId="3" borderId="1"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applyAlignment="1">
      <alignment horizontal="center"/>
    </xf>
    <xf numFmtId="0" fontId="3" fillId="3" borderId="4" xfId="0" applyFont="1" applyFill="1" applyBorder="1" applyAlignment="1">
      <alignment horizontal="center"/>
    </xf>
    <xf numFmtId="0" fontId="3" fillId="3" borderId="0" xfId="0" applyFont="1" applyFill="1" applyBorder="1" applyAlignment="1">
      <alignment horizontal="center"/>
    </xf>
    <xf numFmtId="0" fontId="3" fillId="3" borderId="5" xfId="0" applyFont="1" applyFill="1" applyBorder="1" applyAlignment="1">
      <alignment horizontal="center"/>
    </xf>
    <xf numFmtId="0" fontId="4" fillId="3" borderId="4" xfId="0" applyFont="1" applyFill="1" applyBorder="1" applyAlignment="1">
      <alignment horizontal="center" vertical="top"/>
    </xf>
    <xf numFmtId="0" fontId="4" fillId="3" borderId="0" xfId="0" applyFont="1" applyFill="1" applyBorder="1" applyAlignment="1">
      <alignment horizontal="center" vertical="top"/>
    </xf>
    <xf numFmtId="0" fontId="4" fillId="3" borderId="5" xfId="0" applyFont="1" applyFill="1" applyBorder="1" applyAlignment="1">
      <alignment horizontal="center" vertical="top"/>
    </xf>
    <xf numFmtId="0" fontId="16" fillId="3" borderId="4" xfId="0" applyFont="1" applyFill="1" applyBorder="1" applyAlignment="1">
      <alignment horizontal="center"/>
    </xf>
    <xf numFmtId="0" fontId="16" fillId="3" borderId="0" xfId="0" applyFont="1" applyFill="1" applyBorder="1" applyAlignment="1">
      <alignment horizontal="center"/>
    </xf>
    <xf numFmtId="0" fontId="16" fillId="3" borderId="5" xfId="0" applyFont="1" applyFill="1" applyBorder="1" applyAlignment="1">
      <alignment horizontal="center"/>
    </xf>
    <xf numFmtId="3" fontId="1" fillId="3" borderId="10" xfId="0" applyNumberFormat="1" applyFont="1" applyFill="1" applyBorder="1" applyAlignment="1" applyProtection="1">
      <alignment horizontal="center"/>
      <protection locked="0"/>
    </xf>
    <xf numFmtId="49" fontId="1" fillId="3" borderId="10" xfId="0" applyNumberFormat="1" applyFont="1" applyFill="1" applyBorder="1" applyAlignment="1" applyProtection="1">
      <alignment horizontal="center"/>
      <protection locked="0"/>
    </xf>
    <xf numFmtId="49" fontId="1" fillId="3" borderId="11" xfId="0" applyNumberFormat="1" applyFont="1" applyFill="1" applyBorder="1" applyAlignment="1" applyProtection="1">
      <alignment horizontal="center"/>
      <protection locked="0"/>
    </xf>
    <xf numFmtId="49" fontId="1" fillId="3" borderId="12" xfId="0" applyNumberFormat="1" applyFont="1" applyFill="1" applyBorder="1" applyAlignment="1" applyProtection="1">
      <alignment horizontal="center"/>
      <protection locked="0"/>
    </xf>
    <xf numFmtId="0" fontId="8" fillId="3" borderId="10" xfId="0" applyFont="1" applyFill="1" applyBorder="1" applyAlignment="1" applyProtection="1">
      <alignment horizontal="justify" vertical="top" wrapText="1"/>
      <protection locked="0"/>
    </xf>
    <xf numFmtId="0" fontId="8" fillId="3" borderId="11" xfId="0" applyFont="1" applyFill="1" applyBorder="1" applyAlignment="1" applyProtection="1">
      <alignment horizontal="justify" vertical="top" wrapText="1"/>
      <protection locked="0"/>
    </xf>
    <xf numFmtId="0" fontId="8" fillId="3" borderId="12" xfId="0" applyFont="1" applyFill="1" applyBorder="1" applyAlignment="1" applyProtection="1">
      <alignment horizontal="justify" vertical="top" wrapText="1"/>
      <protection locked="0"/>
    </xf>
    <xf numFmtId="165" fontId="1" fillId="3" borderId="96" xfId="0" applyNumberFormat="1" applyFont="1" applyFill="1" applyBorder="1" applyAlignment="1" applyProtection="1">
      <alignment horizontal="center" vertical="center"/>
      <protection locked="0"/>
    </xf>
    <xf numFmtId="165" fontId="1" fillId="3" borderId="97" xfId="0" applyNumberFormat="1" applyFont="1" applyFill="1" applyBorder="1" applyAlignment="1" applyProtection="1">
      <alignment horizontal="center" vertical="center"/>
      <protection locked="0"/>
    </xf>
    <xf numFmtId="165" fontId="1" fillId="3" borderId="98" xfId="0" applyNumberFormat="1" applyFont="1" applyFill="1" applyBorder="1" applyAlignment="1" applyProtection="1">
      <alignment horizontal="center" vertical="center"/>
      <protection locked="0"/>
    </xf>
    <xf numFmtId="0" fontId="1" fillId="3"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3" borderId="12" xfId="0" applyFont="1" applyFill="1" applyBorder="1" applyAlignment="1" applyProtection="1">
      <alignment horizontal="center" vertical="center"/>
      <protection locked="0"/>
    </xf>
    <xf numFmtId="165" fontId="1" fillId="3" borderId="10" xfId="0" applyNumberFormat="1" applyFont="1" applyFill="1" applyBorder="1" applyAlignment="1" applyProtection="1">
      <alignment horizontal="center"/>
      <protection locked="0"/>
    </xf>
    <xf numFmtId="165" fontId="1" fillId="3" borderId="11" xfId="0" applyNumberFormat="1" applyFont="1" applyFill="1" applyBorder="1" applyAlignment="1" applyProtection="1">
      <alignment horizontal="center"/>
      <protection locked="0"/>
    </xf>
    <xf numFmtId="165" fontId="1" fillId="3" borderId="12" xfId="0" applyNumberFormat="1" applyFont="1" applyFill="1" applyBorder="1" applyAlignment="1" applyProtection="1">
      <alignment horizontal="center"/>
      <protection locked="0"/>
    </xf>
    <xf numFmtId="165" fontId="1" fillId="3" borderId="10" xfId="0" applyNumberFormat="1" applyFont="1" applyFill="1" applyBorder="1" applyAlignment="1" applyProtection="1">
      <alignment horizontal="center"/>
    </xf>
    <xf numFmtId="165" fontId="1" fillId="3" borderId="11" xfId="0" applyNumberFormat="1" applyFont="1" applyFill="1" applyBorder="1" applyAlignment="1" applyProtection="1">
      <alignment horizontal="center"/>
    </xf>
    <xf numFmtId="165" fontId="1" fillId="3" borderId="12" xfId="0" applyNumberFormat="1" applyFont="1" applyFill="1" applyBorder="1" applyAlignment="1" applyProtection="1">
      <alignment horizontal="center"/>
    </xf>
    <xf numFmtId="165" fontId="1" fillId="3" borderId="10" xfId="0" applyNumberFormat="1" applyFont="1" applyFill="1" applyBorder="1" applyAlignment="1" applyProtection="1">
      <alignment horizontal="center" vertical="center"/>
      <protection locked="0"/>
    </xf>
    <xf numFmtId="165" fontId="1" fillId="3" borderId="11" xfId="0" applyNumberFormat="1" applyFont="1" applyFill="1" applyBorder="1" applyAlignment="1" applyProtection="1">
      <alignment horizontal="center" vertical="center"/>
      <protection locked="0"/>
    </xf>
    <xf numFmtId="165" fontId="1" fillId="3" borderId="12" xfId="0" applyNumberFormat="1" applyFont="1" applyFill="1" applyBorder="1" applyAlignment="1" applyProtection="1">
      <alignment horizontal="center" vertical="center"/>
      <protection locked="0"/>
    </xf>
    <xf numFmtId="0" fontId="1" fillId="3" borderId="100" xfId="0" applyFont="1" applyFill="1" applyBorder="1" applyAlignment="1" applyProtection="1">
      <alignment horizontal="center" vertical="center"/>
      <protection locked="0"/>
    </xf>
    <xf numFmtId="0" fontId="1" fillId="3" borderId="101" xfId="0" applyFont="1" applyFill="1" applyBorder="1" applyAlignment="1" applyProtection="1">
      <alignment horizontal="center" vertical="center"/>
      <protection locked="0"/>
    </xf>
    <xf numFmtId="0" fontId="1" fillId="3" borderId="102" xfId="0" applyFont="1" applyFill="1" applyBorder="1" applyAlignment="1" applyProtection="1">
      <alignment horizontal="center" vertical="center"/>
      <protection locked="0"/>
    </xf>
    <xf numFmtId="166" fontId="28" fillId="2" borderId="0" xfId="0" applyNumberFormat="1" applyFont="1" applyFill="1" applyAlignment="1">
      <alignment horizontal="justify" vertical="top" wrapText="1"/>
    </xf>
    <xf numFmtId="0" fontId="28" fillId="5" borderId="24" xfId="0" applyFont="1" applyFill="1" applyBorder="1" applyAlignment="1">
      <alignment horizontal="left" vertical="center"/>
    </xf>
    <xf numFmtId="0" fontId="28" fillId="2" borderId="24" xfId="0" applyFont="1" applyFill="1" applyBorder="1" applyAlignment="1">
      <alignment horizontal="left" vertical="center"/>
    </xf>
    <xf numFmtId="0" fontId="28" fillId="2" borderId="0" xfId="0" applyFont="1" applyFill="1" applyAlignment="1">
      <alignment horizontal="justify" wrapText="1"/>
    </xf>
    <xf numFmtId="49" fontId="28" fillId="2" borderId="25" xfId="0" applyNumberFormat="1" applyFont="1" applyFill="1" applyBorder="1" applyAlignment="1">
      <alignment horizontal="left" vertical="center"/>
    </xf>
    <xf numFmtId="49" fontId="28" fillId="2" borderId="35" xfId="0" applyNumberFormat="1" applyFont="1" applyFill="1" applyBorder="1" applyAlignment="1">
      <alignment horizontal="left" vertical="center"/>
    </xf>
    <xf numFmtId="49" fontId="28" fillId="2" borderId="26" xfId="0" applyNumberFormat="1" applyFont="1" applyFill="1" applyBorder="1" applyAlignment="1">
      <alignment horizontal="left" vertical="center"/>
    </xf>
    <xf numFmtId="0" fontId="28" fillId="2" borderId="24" xfId="0" applyFont="1" applyFill="1" applyBorder="1" applyAlignment="1">
      <alignment horizontal="justify" vertical="top" wrapText="1"/>
    </xf>
    <xf numFmtId="165" fontId="28" fillId="2" borderId="24" xfId="0" applyNumberFormat="1" applyFont="1" applyFill="1" applyBorder="1" applyAlignment="1">
      <alignment horizontal="left" vertical="center"/>
    </xf>
    <xf numFmtId="0" fontId="18" fillId="2" borderId="24" xfId="0" applyFont="1" applyFill="1" applyBorder="1" applyAlignment="1">
      <alignment horizontal="center" vertical="center"/>
    </xf>
    <xf numFmtId="14" fontId="18" fillId="2" borderId="24" xfId="0" applyNumberFormat="1" applyFont="1" applyFill="1" applyBorder="1" applyAlignment="1">
      <alignment horizontal="center" vertical="center"/>
    </xf>
    <xf numFmtId="0" fontId="17" fillId="2" borderId="24" xfId="0" applyFont="1" applyFill="1" applyBorder="1" applyAlignment="1">
      <alignment horizontal="center" vertical="center"/>
    </xf>
    <xf numFmtId="0" fontId="19" fillId="2" borderId="24" xfId="0" applyFont="1" applyFill="1" applyBorder="1" applyAlignment="1">
      <alignment horizontal="center" vertical="center"/>
    </xf>
    <xf numFmtId="0" fontId="29" fillId="2" borderId="24" xfId="0" applyFont="1" applyFill="1" applyBorder="1" applyAlignment="1">
      <alignment horizontal="center" vertical="center"/>
    </xf>
    <xf numFmtId="0" fontId="18" fillId="17" borderId="24" xfId="0" applyFont="1" applyFill="1" applyBorder="1" applyAlignment="1">
      <alignment horizontal="left" vertical="center"/>
    </xf>
    <xf numFmtId="0" fontId="24" fillId="2" borderId="39" xfId="0" applyNumberFormat="1" applyFont="1" applyFill="1" applyBorder="1" applyAlignment="1" applyProtection="1">
      <alignment horizontal="left" vertical="top" wrapText="1"/>
      <protection locked="0"/>
    </xf>
    <xf numFmtId="0" fontId="24" fillId="16" borderId="39" xfId="0" applyNumberFormat="1" applyFont="1" applyFill="1" applyBorder="1" applyAlignment="1" applyProtection="1">
      <alignment horizontal="left" vertical="top" wrapText="1"/>
    </xf>
    <xf numFmtId="4" fontId="26" fillId="2" borderId="39" xfId="0" applyNumberFormat="1" applyFont="1" applyFill="1" applyBorder="1" applyAlignment="1" applyProtection="1">
      <alignment horizontal="right" vertical="center"/>
      <protection locked="0"/>
    </xf>
    <xf numFmtId="0" fontId="24" fillId="2" borderId="39" xfId="0" applyNumberFormat="1" applyFont="1" applyFill="1" applyBorder="1" applyAlignment="1" applyProtection="1">
      <alignment horizontal="left" vertical="top" wrapText="1"/>
    </xf>
    <xf numFmtId="0" fontId="26" fillId="2" borderId="39" xfId="0" applyNumberFormat="1" applyFont="1" applyFill="1" applyBorder="1" applyAlignment="1">
      <alignment horizontal="center" vertical="center"/>
    </xf>
    <xf numFmtId="4" fontId="27" fillId="16" borderId="43" xfId="0" applyNumberFormat="1" applyFont="1" applyFill="1" applyBorder="1" applyAlignment="1" applyProtection="1">
      <alignment horizontal="right" vertical="center"/>
    </xf>
    <xf numFmtId="0" fontId="27" fillId="16" borderId="44" xfId="0" applyNumberFormat="1" applyFont="1" applyFill="1" applyBorder="1" applyAlignment="1" applyProtection="1">
      <alignment horizontal="right" vertical="center"/>
    </xf>
    <xf numFmtId="4" fontId="26" fillId="16" borderId="40" xfId="0" applyNumberFormat="1" applyFont="1" applyFill="1" applyBorder="1" applyAlignment="1" applyProtection="1">
      <alignment horizontal="right" vertical="center"/>
    </xf>
    <xf numFmtId="0" fontId="26" fillId="16" borderId="40" xfId="0" applyNumberFormat="1" applyFont="1" applyFill="1" applyBorder="1" applyAlignment="1" applyProtection="1">
      <alignment horizontal="right" vertical="center"/>
    </xf>
    <xf numFmtId="4" fontId="26" fillId="16" borderId="43" xfId="0" applyNumberFormat="1" applyFont="1" applyFill="1" applyBorder="1" applyAlignment="1" applyProtection="1">
      <alignment horizontal="right" vertical="center"/>
    </xf>
    <xf numFmtId="4" fontId="26" fillId="2" borderId="43" xfId="0" applyNumberFormat="1" applyFont="1" applyFill="1" applyBorder="1" applyAlignment="1" applyProtection="1">
      <alignment horizontal="right" vertical="center"/>
    </xf>
    <xf numFmtId="4" fontId="26" fillId="6" borderId="43" xfId="0" applyNumberFormat="1" applyFont="1" applyFill="1" applyBorder="1" applyAlignment="1" applyProtection="1">
      <alignment horizontal="right" vertical="center"/>
    </xf>
    <xf numFmtId="0" fontId="24" fillId="16" borderId="39" xfId="0" applyNumberFormat="1" applyFont="1" applyFill="1" applyBorder="1" applyAlignment="1" applyProtection="1">
      <alignment horizontal="left" vertical="top" wrapText="1" indent="2"/>
    </xf>
    <xf numFmtId="0" fontId="24" fillId="16" borderId="41" xfId="0" applyNumberFormat="1" applyFont="1" applyFill="1" applyBorder="1" applyAlignment="1" applyProtection="1">
      <alignment horizontal="left" vertical="top" wrapText="1"/>
    </xf>
    <xf numFmtId="0" fontId="32" fillId="5" borderId="39" xfId="2" applyFont="1" applyFill="1" applyBorder="1" applyAlignment="1" applyProtection="1">
      <alignment horizontal="left" vertical="center"/>
      <protection locked="0"/>
    </xf>
    <xf numFmtId="0" fontId="26" fillId="16" borderId="45" xfId="0" applyNumberFormat="1" applyFont="1" applyFill="1" applyBorder="1" applyAlignment="1" applyProtection="1">
      <alignment horizontal="right" vertical="center"/>
    </xf>
    <xf numFmtId="0" fontId="26" fillId="2" borderId="40" xfId="0" applyNumberFormat="1" applyFont="1" applyFill="1" applyBorder="1" applyAlignment="1">
      <alignment horizontal="center" vertical="center"/>
    </xf>
    <xf numFmtId="4" fontId="26" fillId="2" borderId="39" xfId="0" applyNumberFormat="1" applyFont="1" applyFill="1" applyBorder="1" applyAlignment="1">
      <alignment horizontal="right" vertical="center"/>
    </xf>
    <xf numFmtId="4" fontId="26" fillId="2" borderId="40" xfId="0" applyNumberFormat="1" applyFont="1" applyFill="1" applyBorder="1" applyAlignment="1" applyProtection="1">
      <alignment horizontal="right" vertical="center"/>
      <protection locked="0"/>
    </xf>
    <xf numFmtId="0" fontId="24" fillId="16" borderId="41" xfId="0" applyNumberFormat="1" applyFont="1" applyFill="1" applyBorder="1" applyAlignment="1" applyProtection="1">
      <alignment horizontal="left" vertical="top" wrapText="1" indent="2"/>
    </xf>
    <xf numFmtId="4" fontId="26" fillId="16" borderId="45" xfId="0" applyNumberFormat="1" applyFont="1" applyFill="1" applyBorder="1" applyAlignment="1" applyProtection="1">
      <alignment horizontal="right" vertical="center"/>
    </xf>
    <xf numFmtId="0" fontId="24" fillId="16" borderId="40" xfId="0" applyNumberFormat="1" applyFont="1" applyFill="1" applyBorder="1" applyAlignment="1" applyProtection="1">
      <alignment horizontal="center" vertical="center"/>
    </xf>
    <xf numFmtId="0" fontId="24" fillId="16" borderId="39" xfId="0" applyNumberFormat="1" applyFont="1" applyFill="1" applyBorder="1" applyAlignment="1" applyProtection="1">
      <alignment horizontal="center" vertical="center"/>
    </xf>
    <xf numFmtId="0" fontId="24" fillId="16" borderId="41" xfId="0" applyNumberFormat="1" applyFont="1" applyFill="1" applyBorder="1" applyAlignment="1" applyProtection="1">
      <alignment horizontal="center" vertical="center"/>
    </xf>
    <xf numFmtId="4" fontId="26" fillId="5" borderId="39" xfId="0" applyNumberFormat="1" applyFont="1" applyFill="1" applyBorder="1" applyAlignment="1">
      <alignment horizontal="right" vertical="center"/>
    </xf>
    <xf numFmtId="4" fontId="26" fillId="5" borderId="39" xfId="0" applyNumberFormat="1" applyFont="1" applyFill="1" applyBorder="1" applyAlignment="1" applyProtection="1">
      <alignment horizontal="right" vertical="center"/>
      <protection locked="0"/>
    </xf>
    <xf numFmtId="4" fontId="26" fillId="16" borderId="39" xfId="0" applyNumberFormat="1" applyFont="1" applyFill="1" applyBorder="1" applyAlignment="1" applyProtection="1">
      <alignment horizontal="right" vertical="center"/>
    </xf>
    <xf numFmtId="4" fontId="26" fillId="16" borderId="41" xfId="0" applyNumberFormat="1" applyFont="1" applyFill="1" applyBorder="1" applyAlignment="1" applyProtection="1">
      <alignment horizontal="right" vertical="center"/>
    </xf>
    <xf numFmtId="0" fontId="26" fillId="16" borderId="39" xfId="0" applyNumberFormat="1" applyFont="1" applyFill="1" applyBorder="1" applyAlignment="1" applyProtection="1">
      <alignment horizontal="center" vertical="center"/>
    </xf>
    <xf numFmtId="4" fontId="27" fillId="2" borderId="43" xfId="0" applyNumberFormat="1" applyFont="1" applyFill="1" applyBorder="1" applyAlignment="1" applyProtection="1">
      <alignment horizontal="right" vertical="center"/>
    </xf>
    <xf numFmtId="0" fontId="27" fillId="2" borderId="44" xfId="0" applyNumberFormat="1" applyFont="1" applyFill="1" applyBorder="1" applyAlignment="1" applyProtection="1">
      <alignment horizontal="right" vertical="center"/>
    </xf>
    <xf numFmtId="4" fontId="27" fillId="6" borderId="43" xfId="0" applyNumberFormat="1" applyFont="1" applyFill="1" applyBorder="1" applyAlignment="1" applyProtection="1">
      <alignment horizontal="right" vertical="center"/>
    </xf>
    <xf numFmtId="0" fontId="27" fillId="6" borderId="44" xfId="0" applyNumberFormat="1" applyFont="1" applyFill="1" applyBorder="1" applyAlignment="1" applyProtection="1">
      <alignment horizontal="right" vertical="center"/>
    </xf>
    <xf numFmtId="0" fontId="24" fillId="2" borderId="40" xfId="0" applyNumberFormat="1" applyFont="1" applyFill="1" applyBorder="1" applyAlignment="1" applyProtection="1">
      <alignment horizontal="left" vertical="top" wrapText="1"/>
      <protection locked="0"/>
    </xf>
    <xf numFmtId="0" fontId="24" fillId="16" borderId="40" xfId="0" applyNumberFormat="1" applyFont="1" applyFill="1" applyBorder="1" applyAlignment="1" applyProtection="1">
      <alignment horizontal="left" vertical="top" wrapText="1" indent="2"/>
    </xf>
    <xf numFmtId="4" fontId="26" fillId="2" borderId="39" xfId="0" applyNumberFormat="1" applyFont="1" applyFill="1" applyBorder="1" applyAlignment="1" applyProtection="1">
      <alignment horizontal="center" vertical="center"/>
      <protection locked="0"/>
    </xf>
    <xf numFmtId="4" fontId="26" fillId="5" borderId="39" xfId="0" applyNumberFormat="1" applyFont="1" applyFill="1" applyBorder="1" applyAlignment="1" applyProtection="1">
      <alignment horizontal="center" vertical="center"/>
      <protection locked="0"/>
    </xf>
    <xf numFmtId="0" fontId="25" fillId="6" borderId="40" xfId="0" applyNumberFormat="1" applyFont="1" applyFill="1" applyBorder="1" applyAlignment="1">
      <alignment horizontal="left" vertical="center"/>
    </xf>
    <xf numFmtId="0" fontId="26" fillId="5" borderId="39" xfId="0" applyNumberFormat="1" applyFont="1" applyFill="1" applyBorder="1" applyAlignment="1">
      <alignment horizontal="center" vertical="center"/>
    </xf>
    <xf numFmtId="0" fontId="17" fillId="2" borderId="25" xfId="0" applyFont="1" applyFill="1" applyBorder="1" applyAlignment="1">
      <alignment horizontal="center" vertical="center"/>
    </xf>
    <xf numFmtId="0" fontId="18" fillId="2" borderId="24" xfId="0" applyFont="1" applyFill="1" applyBorder="1" applyAlignment="1">
      <alignment horizontal="left" vertical="center"/>
    </xf>
    <xf numFmtId="168" fontId="18" fillId="2" borderId="24" xfId="0" applyNumberFormat="1" applyFont="1" applyFill="1" applyBorder="1" applyAlignment="1">
      <alignment horizontal="center" vertical="center"/>
    </xf>
    <xf numFmtId="0" fontId="19" fillId="2" borderId="31" xfId="0" applyFont="1" applyFill="1" applyBorder="1" applyAlignment="1">
      <alignment horizontal="center" vertical="center"/>
    </xf>
    <xf numFmtId="0" fontId="19" fillId="2" borderId="32" xfId="0" applyFont="1" applyFill="1" applyBorder="1" applyAlignment="1">
      <alignment horizontal="center" vertical="center"/>
    </xf>
    <xf numFmtId="0" fontId="19" fillId="2" borderId="27" xfId="0" applyFont="1" applyFill="1" applyBorder="1" applyAlignment="1">
      <alignment horizontal="center" vertical="center"/>
    </xf>
    <xf numFmtId="0" fontId="19" fillId="2" borderId="30" xfId="0" applyFont="1" applyFill="1" applyBorder="1" applyAlignment="1">
      <alignment horizontal="center" vertical="center"/>
    </xf>
    <xf numFmtId="0" fontId="19" fillId="2" borderId="0" xfId="0" applyFont="1" applyFill="1" applyBorder="1" applyAlignment="1">
      <alignment horizontal="center" vertical="center"/>
    </xf>
    <xf numFmtId="0" fontId="19" fillId="2" borderId="28" xfId="0" applyFont="1" applyFill="1" applyBorder="1" applyAlignment="1">
      <alignment horizontal="center" vertical="center"/>
    </xf>
    <xf numFmtId="0" fontId="19" fillId="2" borderId="33" xfId="0" applyFont="1" applyFill="1" applyBorder="1" applyAlignment="1">
      <alignment horizontal="center" vertical="center"/>
    </xf>
    <xf numFmtId="0" fontId="19" fillId="2" borderId="34" xfId="0" applyFont="1" applyFill="1" applyBorder="1" applyAlignment="1">
      <alignment horizontal="center" vertical="center"/>
    </xf>
    <xf numFmtId="0" fontId="19" fillId="2" borderId="29" xfId="0" applyFont="1" applyFill="1" applyBorder="1" applyAlignment="1">
      <alignment horizontal="center" vertical="center"/>
    </xf>
    <xf numFmtId="0" fontId="18" fillId="2" borderId="25" xfId="0" applyFont="1" applyFill="1" applyBorder="1" applyAlignment="1">
      <alignment horizontal="center" vertical="center"/>
    </xf>
    <xf numFmtId="0" fontId="18" fillId="2" borderId="35" xfId="0" applyFont="1" applyFill="1" applyBorder="1" applyAlignment="1">
      <alignment horizontal="center" vertical="center"/>
    </xf>
    <xf numFmtId="0" fontId="18" fillId="2" borderId="26" xfId="0" applyFont="1" applyFill="1" applyBorder="1" applyAlignment="1">
      <alignment horizontal="center" vertical="center"/>
    </xf>
    <xf numFmtId="4" fontId="26" fillId="2" borderId="40" xfId="0" applyNumberFormat="1" applyFont="1" applyFill="1" applyBorder="1" applyAlignment="1" applyProtection="1">
      <alignment horizontal="center" vertical="center"/>
      <protection locked="0"/>
    </xf>
    <xf numFmtId="0" fontId="25" fillId="6" borderId="39" xfId="0" applyNumberFormat="1" applyFont="1" applyFill="1" applyBorder="1" applyAlignment="1">
      <alignment horizontal="left" vertical="center"/>
    </xf>
    <xf numFmtId="0" fontId="22" fillId="0" borderId="37" xfId="0" applyFont="1" applyBorder="1" applyAlignment="1">
      <alignment horizontal="center" vertical="center" wrapText="1"/>
    </xf>
    <xf numFmtId="0" fontId="22" fillId="0" borderId="38" xfId="0" applyFont="1" applyBorder="1" applyAlignment="1">
      <alignment horizontal="center" vertical="center" wrapText="1"/>
    </xf>
    <xf numFmtId="0" fontId="22" fillId="2" borderId="37" xfId="0" applyNumberFormat="1" applyFont="1" applyFill="1" applyBorder="1" applyAlignment="1">
      <alignment horizontal="center" vertical="center" wrapText="1"/>
    </xf>
    <xf numFmtId="0" fontId="22" fillId="2" borderId="37" xfId="0" applyNumberFormat="1" applyFont="1" applyFill="1" applyBorder="1" applyAlignment="1">
      <alignment horizontal="center" vertical="center"/>
    </xf>
    <xf numFmtId="4" fontId="26" fillId="2" borderId="48" xfId="0" applyNumberFormat="1" applyFont="1" applyFill="1" applyBorder="1" applyAlignment="1" applyProtection="1">
      <alignment horizontal="center" vertical="center"/>
      <protection locked="0"/>
    </xf>
    <xf numFmtId="4" fontId="26" fillId="2" borderId="49" xfId="0" applyNumberFormat="1" applyFont="1" applyFill="1" applyBorder="1" applyAlignment="1" applyProtection="1">
      <alignment horizontal="center" vertical="center"/>
      <protection locked="0"/>
    </xf>
    <xf numFmtId="0" fontId="26" fillId="2" borderId="48" xfId="0" applyNumberFormat="1" applyFont="1" applyFill="1" applyBorder="1" applyAlignment="1">
      <alignment horizontal="center" vertical="center"/>
    </xf>
    <xf numFmtId="0" fontId="26" fillId="2" borderId="49" xfId="0" applyNumberFormat="1" applyFont="1" applyFill="1" applyBorder="1" applyAlignment="1">
      <alignment horizontal="center" vertical="center"/>
    </xf>
    <xf numFmtId="0" fontId="25" fillId="5" borderId="39" xfId="0" applyFont="1" applyFill="1" applyBorder="1" applyAlignment="1">
      <alignment horizontal="center" vertical="center"/>
    </xf>
    <xf numFmtId="165" fontId="25" fillId="7" borderId="46" xfId="0" applyNumberFormat="1" applyFont="1" applyFill="1" applyBorder="1" applyAlignment="1">
      <alignment horizontal="left" vertical="center"/>
    </xf>
    <xf numFmtId="165" fontId="25" fillId="7" borderId="50" xfId="0" applyNumberFormat="1" applyFont="1" applyFill="1" applyBorder="1" applyAlignment="1">
      <alignment horizontal="left" vertical="center"/>
    </xf>
    <xf numFmtId="165" fontId="25" fillId="7" borderId="47" xfId="0" applyNumberFormat="1" applyFont="1" applyFill="1" applyBorder="1" applyAlignment="1">
      <alignment horizontal="left" vertical="center"/>
    </xf>
    <xf numFmtId="0" fontId="24" fillId="5" borderId="39" xfId="0" applyFont="1" applyFill="1" applyBorder="1" applyAlignment="1">
      <alignment horizontal="left" vertical="top"/>
    </xf>
    <xf numFmtId="0" fontId="25" fillId="9" borderId="39" xfId="0" applyFont="1" applyFill="1" applyBorder="1" applyAlignment="1">
      <alignment horizontal="justify" vertical="top" wrapText="1"/>
    </xf>
    <xf numFmtId="166" fontId="36" fillId="5" borderId="46" xfId="0" applyNumberFormat="1" applyFont="1" applyFill="1" applyBorder="1" applyAlignment="1">
      <alignment horizontal="left" vertical="center"/>
    </xf>
    <xf numFmtId="166" fontId="36" fillId="5" borderId="50" xfId="0" applyNumberFormat="1" applyFont="1" applyFill="1" applyBorder="1" applyAlignment="1">
      <alignment horizontal="left" vertical="center"/>
    </xf>
    <xf numFmtId="166" fontId="36" fillId="5" borderId="47" xfId="0" applyNumberFormat="1" applyFont="1" applyFill="1" applyBorder="1" applyAlignment="1">
      <alignment horizontal="left" vertical="center"/>
    </xf>
    <xf numFmtId="0" fontId="34" fillId="2" borderId="39" xfId="0" applyFont="1" applyFill="1" applyBorder="1" applyAlignment="1">
      <alignment horizontal="center" vertical="top" wrapText="1"/>
    </xf>
    <xf numFmtId="0" fontId="22" fillId="2" borderId="39" xfId="0" applyFont="1" applyFill="1" applyBorder="1" applyAlignment="1">
      <alignment horizontal="center" vertical="top" wrapText="1"/>
    </xf>
    <xf numFmtId="0" fontId="35" fillId="11" borderId="48" xfId="0" applyFont="1" applyFill="1" applyBorder="1" applyAlignment="1">
      <alignment horizontal="center" vertical="center"/>
    </xf>
    <xf numFmtId="0" fontId="35" fillId="11" borderId="52" xfId="0" applyFont="1" applyFill="1" applyBorder="1" applyAlignment="1">
      <alignment horizontal="center" vertical="center"/>
    </xf>
    <xf numFmtId="0" fontId="25" fillId="7" borderId="46" xfId="0" applyFont="1" applyFill="1" applyBorder="1" applyAlignment="1">
      <alignment horizontal="left" vertical="center"/>
    </xf>
    <xf numFmtId="0" fontId="25" fillId="7" borderId="50" xfId="0" applyFont="1" applyFill="1" applyBorder="1" applyAlignment="1">
      <alignment horizontal="left" vertical="center"/>
    </xf>
    <xf numFmtId="0" fontId="25" fillId="7" borderId="47" xfId="0" applyFont="1" applyFill="1" applyBorder="1" applyAlignment="1">
      <alignment horizontal="left" vertical="center"/>
    </xf>
    <xf numFmtId="0" fontId="25" fillId="15" borderId="46" xfId="0" applyFont="1" applyFill="1" applyBorder="1" applyAlignment="1">
      <alignment horizontal="center" vertical="center"/>
    </xf>
    <xf numFmtId="0" fontId="25" fillId="15" borderId="47" xfId="0" applyFont="1" applyFill="1" applyBorder="1" applyAlignment="1">
      <alignment horizontal="center" vertical="center"/>
    </xf>
    <xf numFmtId="0" fontId="25" fillId="15" borderId="53" xfId="0" applyFont="1" applyFill="1" applyBorder="1" applyAlignment="1">
      <alignment horizontal="center" vertical="center"/>
    </xf>
    <xf numFmtId="0" fontId="25" fillId="15" borderId="59" xfId="0" applyFont="1" applyFill="1" applyBorder="1" applyAlignment="1">
      <alignment horizontal="center" vertical="center"/>
    </xf>
    <xf numFmtId="0" fontId="25" fillId="15" borderId="54" xfId="0" applyFont="1" applyFill="1" applyBorder="1" applyAlignment="1">
      <alignment horizontal="center" vertical="center"/>
    </xf>
    <xf numFmtId="0" fontId="25" fillId="15" borderId="50" xfId="0" applyFont="1" applyFill="1" applyBorder="1" applyAlignment="1">
      <alignment horizontal="center" vertical="center"/>
    </xf>
    <xf numFmtId="166" fontId="37" fillId="9" borderId="55" xfId="0" applyNumberFormat="1" applyFont="1" applyFill="1" applyBorder="1" applyAlignment="1">
      <alignment horizontal="center" vertical="center" wrapText="1"/>
    </xf>
    <xf numFmtId="166" fontId="37" fillId="9" borderId="51" xfId="0" applyNumberFormat="1" applyFont="1" applyFill="1" applyBorder="1" applyAlignment="1">
      <alignment horizontal="center" vertical="center" wrapText="1"/>
    </xf>
    <xf numFmtId="166" fontId="37" fillId="9" borderId="48" xfId="0" applyNumberFormat="1" applyFont="1" applyFill="1" applyBorder="1" applyAlignment="1">
      <alignment horizontal="center" vertical="center" wrapText="1"/>
    </xf>
    <xf numFmtId="166" fontId="37" fillId="9" borderId="49" xfId="0" applyNumberFormat="1" applyFont="1" applyFill="1" applyBorder="1" applyAlignment="1">
      <alignment horizontal="center" vertical="center" wrapText="1"/>
    </xf>
    <xf numFmtId="0" fontId="40" fillId="2" borderId="0" xfId="0" applyFont="1" applyFill="1" applyAlignment="1">
      <alignment horizontal="justify" vertical="center" wrapText="1"/>
    </xf>
    <xf numFmtId="0" fontId="32" fillId="14" borderId="53" xfId="0" applyFont="1" applyFill="1" applyBorder="1" applyAlignment="1">
      <alignment horizontal="center" vertical="center"/>
    </xf>
    <xf numFmtId="0" fontId="32" fillId="14" borderId="54" xfId="0" applyFont="1" applyFill="1" applyBorder="1" applyAlignment="1">
      <alignment horizontal="center" vertical="center"/>
    </xf>
    <xf numFmtId="0" fontId="32" fillId="14" borderId="48" xfId="0" applyFont="1" applyFill="1" applyBorder="1" applyAlignment="1">
      <alignment horizontal="center" vertical="center"/>
    </xf>
    <xf numFmtId="0" fontId="32" fillId="14" borderId="49" xfId="0" applyFont="1" applyFill="1" applyBorder="1" applyAlignment="1">
      <alignment horizontal="center" vertical="center"/>
    </xf>
    <xf numFmtId="0" fontId="24" fillId="18" borderId="41" xfId="0" applyNumberFormat="1" applyFont="1" applyFill="1" applyBorder="1" applyAlignment="1" applyProtection="1">
      <alignment horizontal="left" vertical="top" wrapText="1"/>
    </xf>
    <xf numFmtId="0" fontId="24" fillId="18" borderId="39" xfId="0" applyNumberFormat="1" applyFont="1" applyFill="1" applyBorder="1" applyAlignment="1" applyProtection="1">
      <alignment horizontal="left" vertical="top" wrapText="1"/>
    </xf>
    <xf numFmtId="166" fontId="22" fillId="10" borderId="53" xfId="0" applyNumberFormat="1" applyFont="1" applyFill="1" applyBorder="1" applyAlignment="1">
      <alignment horizontal="center" vertical="center"/>
    </xf>
    <xf numFmtId="166" fontId="22" fillId="10" borderId="54" xfId="0" applyNumberFormat="1" applyFont="1" applyFill="1" applyBorder="1" applyAlignment="1">
      <alignment horizontal="center" vertical="center"/>
    </xf>
    <xf numFmtId="166" fontId="22" fillId="10" borderId="48" xfId="0" applyNumberFormat="1" applyFont="1" applyFill="1" applyBorder="1" applyAlignment="1">
      <alignment horizontal="center" vertical="center"/>
    </xf>
    <xf numFmtId="166" fontId="22" fillId="10" borderId="49" xfId="0" applyNumberFormat="1" applyFont="1" applyFill="1" applyBorder="1" applyAlignment="1">
      <alignment horizontal="center" vertical="center"/>
    </xf>
    <xf numFmtId="0" fontId="25" fillId="5" borderId="53" xfId="0" applyFont="1" applyFill="1" applyBorder="1" applyAlignment="1">
      <alignment horizontal="center" vertical="center"/>
    </xf>
    <xf numFmtId="0" fontId="25" fillId="5" borderId="59" xfId="0" applyFont="1" applyFill="1" applyBorder="1" applyAlignment="1">
      <alignment horizontal="center" vertical="center"/>
    </xf>
    <xf numFmtId="0" fontId="25" fillId="5" borderId="54" xfId="0" applyFont="1" applyFill="1" applyBorder="1" applyAlignment="1">
      <alignment horizontal="center" vertical="center"/>
    </xf>
    <xf numFmtId="0" fontId="25" fillId="5" borderId="48" xfId="0" applyFont="1" applyFill="1" applyBorder="1" applyAlignment="1">
      <alignment horizontal="center" vertical="center"/>
    </xf>
    <xf numFmtId="0" fontId="25" fillId="5" borderId="52" xfId="0" applyFont="1" applyFill="1" applyBorder="1" applyAlignment="1">
      <alignment horizontal="center" vertical="center"/>
    </xf>
    <xf numFmtId="0" fontId="25" fillId="5" borderId="49" xfId="0" applyFont="1" applyFill="1" applyBorder="1" applyAlignment="1">
      <alignment horizontal="center" vertical="center"/>
    </xf>
    <xf numFmtId="0" fontId="46" fillId="5" borderId="75" xfId="0" applyFont="1" applyFill="1" applyBorder="1" applyAlignment="1">
      <alignment horizontal="center" vertical="center" wrapText="1"/>
    </xf>
    <xf numFmtId="0" fontId="46" fillId="5" borderId="24" xfId="0" applyFont="1" applyFill="1" applyBorder="1" applyAlignment="1">
      <alignment horizontal="center" vertical="center" wrapText="1"/>
    </xf>
    <xf numFmtId="4" fontId="46" fillId="5" borderId="92" xfId="0" applyNumberFormat="1" applyFont="1" applyFill="1" applyBorder="1" applyAlignment="1">
      <alignment horizontal="center" vertical="center" wrapText="1"/>
    </xf>
    <xf numFmtId="4" fontId="46" fillId="5" borderId="65" xfId="0" applyNumberFormat="1" applyFont="1" applyFill="1" applyBorder="1" applyAlignment="1">
      <alignment horizontal="center" vertical="center" wrapText="1"/>
    </xf>
    <xf numFmtId="0" fontId="31" fillId="2" borderId="67" xfId="4" applyFont="1" applyFill="1" applyBorder="1" applyAlignment="1">
      <alignment horizontal="center" vertical="center"/>
    </xf>
    <xf numFmtId="0" fontId="31" fillId="2" borderId="67" xfId="4" applyFont="1" applyFill="1" applyBorder="1" applyAlignment="1">
      <alignment horizontal="left" vertical="center"/>
    </xf>
    <xf numFmtId="0" fontId="47" fillId="0" borderId="86" xfId="4" applyFont="1" applyBorder="1" applyAlignment="1">
      <alignment horizontal="left" vertical="top" wrapText="1"/>
    </xf>
    <xf numFmtId="0" fontId="47" fillId="0" borderId="39" xfId="4" applyFont="1" applyBorder="1" applyAlignment="1">
      <alignment horizontal="left" vertical="top" wrapText="1"/>
    </xf>
    <xf numFmtId="0" fontId="46" fillId="0" borderId="39" xfId="4" applyFont="1" applyFill="1" applyBorder="1" applyAlignment="1">
      <alignment horizontal="center" vertical="center"/>
    </xf>
    <xf numFmtId="0" fontId="31" fillId="0" borderId="39" xfId="4" applyFont="1" applyBorder="1" applyAlignment="1">
      <alignment vertical="center"/>
    </xf>
    <xf numFmtId="0" fontId="46" fillId="0" borderId="39" xfId="4" applyFont="1" applyFill="1" applyBorder="1" applyAlignment="1">
      <alignment horizontal="center" vertical="center" wrapText="1"/>
    </xf>
    <xf numFmtId="0" fontId="50" fillId="5" borderId="39" xfId="4" applyFont="1" applyFill="1" applyBorder="1" applyAlignment="1">
      <alignment horizontal="center" vertical="center" wrapText="1"/>
    </xf>
    <xf numFmtId="0" fontId="48" fillId="5" borderId="39" xfId="4" applyFont="1" applyFill="1" applyBorder="1" applyAlignment="1">
      <alignment vertical="center"/>
    </xf>
    <xf numFmtId="0" fontId="31" fillId="2" borderId="0" xfId="4" applyFont="1" applyFill="1" applyBorder="1" applyAlignment="1">
      <alignment horizontal="center" vertical="center"/>
    </xf>
    <xf numFmtId="0" fontId="31" fillId="0" borderId="24" xfId="4" applyFont="1" applyBorder="1" applyAlignment="1">
      <alignment horizontal="center" vertical="center" wrapText="1"/>
    </xf>
    <xf numFmtId="0" fontId="46" fillId="5" borderId="93" xfId="4" applyFont="1" applyFill="1" applyBorder="1" applyAlignment="1">
      <alignment horizontal="center" vertical="center"/>
    </xf>
    <xf numFmtId="0" fontId="46" fillId="5" borderId="75" xfId="4" applyFont="1" applyFill="1" applyBorder="1" applyAlignment="1">
      <alignment horizontal="center" vertical="center"/>
    </xf>
    <xf numFmtId="0" fontId="31" fillId="0" borderId="93" xfId="4" applyFont="1" applyBorder="1" applyAlignment="1">
      <alignment horizontal="center" vertical="center"/>
    </xf>
    <xf numFmtId="0" fontId="31" fillId="0" borderId="75" xfId="4" applyFont="1" applyBorder="1" applyAlignment="1">
      <alignment horizontal="center" vertical="center"/>
    </xf>
    <xf numFmtId="0" fontId="31" fillId="0" borderId="31" xfId="4" applyFont="1" applyBorder="1" applyAlignment="1">
      <alignment horizontal="center" vertical="center" wrapText="1"/>
    </xf>
    <xf numFmtId="0" fontId="31" fillId="0" borderId="94" xfId="4" applyFont="1" applyBorder="1" applyAlignment="1">
      <alignment horizontal="center" vertical="center" wrapText="1"/>
    </xf>
    <xf numFmtId="0" fontId="31" fillId="0" borderId="33" xfId="4" applyFont="1" applyBorder="1" applyAlignment="1">
      <alignment horizontal="center" vertical="center" wrapText="1"/>
    </xf>
    <xf numFmtId="0" fontId="31" fillId="0" borderId="95" xfId="4" applyFont="1" applyBorder="1" applyAlignment="1">
      <alignment horizontal="center" vertical="center" wrapText="1"/>
    </xf>
    <xf numFmtId="0" fontId="31" fillId="2" borderId="80" xfId="4" applyFont="1" applyFill="1" applyBorder="1" applyAlignment="1">
      <alignment horizontal="center"/>
    </xf>
    <xf numFmtId="0" fontId="31" fillId="2" borderId="82" xfId="4" applyFont="1" applyFill="1" applyBorder="1" applyAlignment="1">
      <alignment horizontal="center"/>
    </xf>
    <xf numFmtId="0" fontId="18" fillId="2" borderId="46" xfId="0" applyFont="1" applyFill="1" applyBorder="1" applyAlignment="1">
      <alignment horizontal="center" vertical="center"/>
    </xf>
    <xf numFmtId="0" fontId="18" fillId="2" borderId="83" xfId="0" applyFont="1" applyFill="1" applyBorder="1" applyAlignment="1">
      <alignment horizontal="center" vertical="center"/>
    </xf>
    <xf numFmtId="14" fontId="18" fillId="2" borderId="46" xfId="0" applyNumberFormat="1" applyFont="1" applyFill="1" applyBorder="1" applyAlignment="1">
      <alignment horizontal="center" vertical="center"/>
    </xf>
    <xf numFmtId="166" fontId="37" fillId="9" borderId="46" xfId="0" applyNumberFormat="1" applyFont="1" applyFill="1" applyBorder="1" applyAlignment="1">
      <alignment horizontal="center" vertical="center" wrapText="1"/>
    </xf>
    <xf numFmtId="166" fontId="37" fillId="9" borderId="50" xfId="0" applyNumberFormat="1" applyFont="1" applyFill="1" applyBorder="1" applyAlignment="1">
      <alignment horizontal="center" vertical="center" wrapText="1"/>
    </xf>
    <xf numFmtId="166" fontId="37" fillId="9" borderId="83" xfId="0" applyNumberFormat="1" applyFont="1" applyFill="1" applyBorder="1" applyAlignment="1">
      <alignment horizontal="center" vertical="center" wrapText="1"/>
    </xf>
    <xf numFmtId="0" fontId="27" fillId="7" borderId="46" xfId="0" applyFont="1" applyFill="1" applyBorder="1" applyAlignment="1">
      <alignment horizontal="left" vertical="center"/>
    </xf>
    <xf numFmtId="0" fontId="27" fillId="7" borderId="50" xfId="0" applyFont="1" applyFill="1" applyBorder="1" applyAlignment="1">
      <alignment horizontal="left" vertical="center"/>
    </xf>
    <xf numFmtId="0" fontId="27" fillId="7" borderId="47" xfId="0" applyFont="1" applyFill="1" applyBorder="1" applyAlignment="1">
      <alignment horizontal="left" vertical="center"/>
    </xf>
    <xf numFmtId="165" fontId="27" fillId="7" borderId="46" xfId="0" applyNumberFormat="1" applyFont="1" applyFill="1" applyBorder="1" applyAlignment="1">
      <alignment horizontal="left" vertical="center"/>
    </xf>
    <xf numFmtId="165" fontId="27" fillId="7" borderId="50" xfId="0" applyNumberFormat="1" applyFont="1" applyFill="1" applyBorder="1" applyAlignment="1">
      <alignment horizontal="left" vertical="center"/>
    </xf>
    <xf numFmtId="165" fontId="27" fillId="7" borderId="47" xfId="0" applyNumberFormat="1" applyFont="1" applyFill="1" applyBorder="1" applyAlignment="1">
      <alignment horizontal="left" vertical="center"/>
    </xf>
    <xf numFmtId="0" fontId="46" fillId="5" borderId="24" xfId="4" applyFont="1" applyFill="1" applyBorder="1" applyAlignment="1">
      <alignment horizontal="center" vertical="center"/>
    </xf>
    <xf numFmtId="0" fontId="46" fillId="0" borderId="24" xfId="4" applyFont="1" applyBorder="1" applyAlignment="1">
      <alignment horizontal="center" vertical="center"/>
    </xf>
    <xf numFmtId="0" fontId="31" fillId="0" borderId="70" xfId="4" applyFont="1" applyFill="1" applyBorder="1" applyAlignment="1">
      <alignment horizontal="center" vertical="center"/>
    </xf>
    <xf numFmtId="0" fontId="43" fillId="2" borderId="61" xfId="0" applyFont="1" applyFill="1" applyBorder="1" applyAlignment="1">
      <alignment horizontal="center" vertical="top" wrapText="1"/>
    </xf>
    <xf numFmtId="0" fontId="43" fillId="2" borderId="62" xfId="0" applyFont="1" applyFill="1" applyBorder="1" applyAlignment="1">
      <alignment horizontal="center" vertical="top" wrapText="1"/>
    </xf>
    <xf numFmtId="0" fontId="43" fillId="2" borderId="63" xfId="0" applyFont="1" applyFill="1" applyBorder="1" applyAlignment="1">
      <alignment horizontal="center" vertical="top" wrapText="1"/>
    </xf>
    <xf numFmtId="0" fontId="43" fillId="2" borderId="0" xfId="0" applyFont="1" applyFill="1" applyBorder="1" applyAlignment="1">
      <alignment horizontal="center" vertical="top" wrapText="1"/>
    </xf>
    <xf numFmtId="0" fontId="35" fillId="11" borderId="79" xfId="0" applyFont="1" applyFill="1" applyBorder="1" applyAlignment="1">
      <alignment horizontal="center" vertical="center"/>
    </xf>
    <xf numFmtId="0" fontId="35" fillId="11" borderId="62" xfId="0" applyFont="1" applyFill="1" applyBorder="1" applyAlignment="1">
      <alignment horizontal="center" vertical="center"/>
    </xf>
    <xf numFmtId="0" fontId="27" fillId="9" borderId="55" xfId="0" applyFont="1" applyFill="1" applyBorder="1" applyAlignment="1">
      <alignment horizontal="justify" vertical="top" wrapText="1"/>
    </xf>
    <xf numFmtId="0" fontId="27" fillId="9" borderId="0" xfId="0" applyFont="1" applyFill="1" applyBorder="1" applyAlignment="1">
      <alignment horizontal="justify" vertical="top" wrapText="1"/>
    </xf>
    <xf numFmtId="0" fontId="27" fillId="9" borderId="51" xfId="0" applyFont="1" applyFill="1" applyBorder="1" applyAlignment="1">
      <alignment horizontal="justify" vertical="top" wrapText="1"/>
    </xf>
    <xf numFmtId="0" fontId="27" fillId="9" borderId="48" xfId="0" applyFont="1" applyFill="1" applyBorder="1" applyAlignment="1">
      <alignment horizontal="justify" vertical="top" wrapText="1"/>
    </xf>
    <xf numFmtId="0" fontId="27" fillId="9" borderId="52" xfId="0" applyFont="1" applyFill="1" applyBorder="1" applyAlignment="1">
      <alignment horizontal="justify" vertical="top" wrapText="1"/>
    </xf>
    <xf numFmtId="0" fontId="27" fillId="9" borderId="49" xfId="0" applyFont="1" applyFill="1" applyBorder="1" applyAlignment="1">
      <alignment horizontal="justify" vertical="top" wrapText="1"/>
    </xf>
    <xf numFmtId="0" fontId="46" fillId="5" borderId="75" xfId="0" applyFont="1" applyFill="1" applyBorder="1" applyAlignment="1">
      <alignment horizontal="center" vertical="center"/>
    </xf>
    <xf numFmtId="166" fontId="22" fillId="10" borderId="46" xfId="0" applyNumberFormat="1" applyFont="1" applyFill="1" applyBorder="1" applyAlignment="1">
      <alignment horizontal="center" vertical="center"/>
    </xf>
    <xf numFmtId="166" fontId="22" fillId="10" borderId="50" xfId="0" applyNumberFormat="1" applyFont="1" applyFill="1" applyBorder="1" applyAlignment="1">
      <alignment horizontal="center" vertical="center"/>
    </xf>
    <xf numFmtId="166" fontId="22" fillId="10" borderId="83" xfId="0" applyNumberFormat="1" applyFont="1" applyFill="1" applyBorder="1" applyAlignment="1">
      <alignment horizontal="center" vertical="center"/>
    </xf>
    <xf numFmtId="0" fontId="25" fillId="8" borderId="46" xfId="0" applyFont="1" applyFill="1" applyBorder="1" applyAlignment="1">
      <alignment horizontal="center" vertical="center"/>
    </xf>
    <xf numFmtId="0" fontId="25" fillId="8" borderId="47" xfId="0" applyFont="1" applyFill="1" applyBorder="1" applyAlignment="1">
      <alignment horizontal="center" vertical="center"/>
    </xf>
    <xf numFmtId="0" fontId="32" fillId="12" borderId="46" xfId="0" applyFont="1" applyFill="1" applyBorder="1" applyAlignment="1">
      <alignment horizontal="center" vertical="center"/>
    </xf>
    <xf numFmtId="0" fontId="32" fillId="12" borderId="47" xfId="0" applyFont="1" applyFill="1" applyBorder="1" applyAlignment="1">
      <alignment horizontal="center" vertical="center"/>
    </xf>
    <xf numFmtId="0" fontId="32" fillId="14" borderId="39" xfId="0" applyFont="1" applyFill="1" applyBorder="1" applyAlignment="1">
      <alignment horizontal="center" vertical="center"/>
    </xf>
    <xf numFmtId="0" fontId="25" fillId="2" borderId="56" xfId="0" applyFont="1" applyFill="1" applyBorder="1" applyAlignment="1">
      <alignment horizontal="center" vertical="center"/>
    </xf>
    <xf numFmtId="0" fontId="25" fillId="2" borderId="57" xfId="0" applyFont="1" applyFill="1" applyBorder="1" applyAlignment="1">
      <alignment horizontal="center" vertical="center"/>
    </xf>
    <xf numFmtId="0" fontId="25" fillId="2" borderId="58" xfId="0" applyFont="1" applyFill="1" applyBorder="1" applyAlignment="1">
      <alignment horizontal="center" vertical="center"/>
    </xf>
    <xf numFmtId="0" fontId="25" fillId="5" borderId="46" xfId="0" applyFont="1" applyFill="1" applyBorder="1" applyAlignment="1">
      <alignment horizontal="center" vertical="center"/>
    </xf>
    <xf numFmtId="0" fontId="25" fillId="5" borderId="50" xfId="0" applyFont="1" applyFill="1" applyBorder="1" applyAlignment="1">
      <alignment horizontal="center" vertical="center"/>
    </xf>
    <xf numFmtId="0" fontId="25" fillId="5" borderId="47" xfId="0" applyFont="1" applyFill="1" applyBorder="1" applyAlignment="1">
      <alignment horizontal="center" vertical="center"/>
    </xf>
    <xf numFmtId="0" fontId="24" fillId="18" borderId="41" xfId="0" applyNumberFormat="1" applyFont="1" applyFill="1" applyBorder="1" applyAlignment="1" applyProtection="1">
      <alignment horizontal="left" vertical="top" wrapText="1"/>
      <protection locked="0"/>
    </xf>
    <xf numFmtId="0" fontId="24" fillId="18" borderId="39" xfId="0" applyNumberFormat="1" applyFont="1" applyFill="1" applyBorder="1" applyAlignment="1" applyProtection="1">
      <alignment horizontal="left" vertical="top" wrapText="1"/>
      <protection locked="0"/>
    </xf>
    <xf numFmtId="0" fontId="25" fillId="15" borderId="48" xfId="0" applyFont="1" applyFill="1" applyBorder="1" applyAlignment="1">
      <alignment horizontal="center" vertical="center"/>
    </xf>
    <xf numFmtId="0" fontId="25" fillId="15" borderId="52" xfId="0" applyFont="1" applyFill="1" applyBorder="1" applyAlignment="1">
      <alignment horizontal="center" vertical="center"/>
    </xf>
    <xf numFmtId="0" fontId="25" fillId="15" borderId="49" xfId="0" applyFont="1" applyFill="1" applyBorder="1" applyAlignment="1">
      <alignment horizontal="center" vertical="center"/>
    </xf>
    <xf numFmtId="0" fontId="32" fillId="26" borderId="39" xfId="0" applyFont="1" applyFill="1" applyBorder="1" applyAlignment="1">
      <alignment horizontal="center" vertical="center"/>
    </xf>
    <xf numFmtId="166" fontId="56" fillId="9" borderId="55" xfId="0" applyNumberFormat="1" applyFont="1" applyFill="1" applyBorder="1" applyAlignment="1">
      <alignment horizontal="center" vertical="center" wrapText="1"/>
    </xf>
    <xf numFmtId="166" fontId="56" fillId="9" borderId="51" xfId="0" applyNumberFormat="1" applyFont="1" applyFill="1" applyBorder="1" applyAlignment="1">
      <alignment horizontal="center" vertical="center" wrapText="1"/>
    </xf>
    <xf numFmtId="166" fontId="56" fillId="9" borderId="48" xfId="0" applyNumberFormat="1" applyFont="1" applyFill="1" applyBorder="1" applyAlignment="1">
      <alignment horizontal="center" vertical="center" wrapText="1"/>
    </xf>
    <xf numFmtId="166" fontId="56" fillId="9" borderId="49" xfId="0" applyNumberFormat="1" applyFont="1" applyFill="1" applyBorder="1" applyAlignment="1">
      <alignment horizontal="center" vertical="center" wrapText="1"/>
    </xf>
    <xf numFmtId="0" fontId="18" fillId="17" borderId="25" xfId="0" applyFont="1" applyFill="1" applyBorder="1" applyAlignment="1">
      <alignment horizontal="left" vertical="center"/>
    </xf>
    <xf numFmtId="0" fontId="18" fillId="17" borderId="26" xfId="0" applyFont="1" applyFill="1" applyBorder="1" applyAlignment="1">
      <alignment horizontal="left" vertical="center"/>
    </xf>
    <xf numFmtId="0" fontId="41" fillId="2" borderId="32" xfId="0" applyFont="1" applyFill="1" applyBorder="1" applyAlignment="1">
      <alignment horizontal="center" vertical="center"/>
    </xf>
    <xf numFmtId="49" fontId="28" fillId="2" borderId="24" xfId="0" applyNumberFormat="1" applyFont="1" applyFill="1" applyBorder="1" applyAlignment="1">
      <alignment horizontal="left" vertical="center"/>
    </xf>
    <xf numFmtId="0" fontId="28" fillId="5" borderId="24" xfId="0" applyFont="1" applyFill="1" applyBorder="1" applyAlignment="1">
      <alignment horizontal="left" vertical="top"/>
    </xf>
    <xf numFmtId="166" fontId="29" fillId="2" borderId="0" xfId="0" applyNumberFormat="1" applyFont="1" applyFill="1" applyAlignment="1">
      <alignment horizontal="center" vertical="top" wrapText="1"/>
    </xf>
    <xf numFmtId="166" fontId="28" fillId="2" borderId="0" xfId="0" quotePrefix="1" applyNumberFormat="1" applyFont="1" applyFill="1" applyAlignment="1">
      <alignment horizontal="justify" vertical="top" wrapText="1"/>
    </xf>
    <xf numFmtId="0" fontId="28" fillId="5" borderId="25" xfId="0" applyFont="1" applyFill="1" applyBorder="1" applyAlignment="1">
      <alignment horizontal="center" vertical="center"/>
    </xf>
    <xf numFmtId="0" fontId="28" fillId="5" borderId="26" xfId="0" applyFont="1" applyFill="1" applyBorder="1" applyAlignment="1">
      <alignment horizontal="center" vertical="center"/>
    </xf>
    <xf numFmtId="166" fontId="1" fillId="2" borderId="25" xfId="0" applyNumberFormat="1" applyFont="1" applyFill="1" applyBorder="1" applyAlignment="1" applyProtection="1">
      <alignment horizontal="left" vertical="center" wrapText="1"/>
      <protection locked="0"/>
    </xf>
    <xf numFmtId="166" fontId="1" fillId="2" borderId="35" xfId="0" applyNumberFormat="1" applyFont="1" applyFill="1" applyBorder="1" applyAlignment="1" applyProtection="1">
      <alignment horizontal="left" vertical="center" wrapText="1"/>
      <protection locked="0"/>
    </xf>
    <xf numFmtId="166" fontId="1" fillId="2" borderId="26" xfId="0" applyNumberFormat="1" applyFont="1" applyFill="1" applyBorder="1" applyAlignment="1" applyProtection="1">
      <alignment horizontal="left" vertical="center" wrapText="1"/>
      <protection locked="0"/>
    </xf>
    <xf numFmtId="165" fontId="28" fillId="2" borderId="25" xfId="0" applyNumberFormat="1" applyFont="1" applyFill="1" applyBorder="1" applyAlignment="1">
      <alignment horizontal="left" vertical="center"/>
    </xf>
    <xf numFmtId="165" fontId="28" fillId="2" borderId="35" xfId="0" applyNumberFormat="1" applyFont="1" applyFill="1" applyBorder="1" applyAlignment="1">
      <alignment horizontal="left" vertical="center"/>
    </xf>
    <xf numFmtId="165" fontId="28" fillId="2" borderId="26" xfId="0" applyNumberFormat="1" applyFont="1" applyFill="1" applyBorder="1" applyAlignment="1">
      <alignment horizontal="left" vertical="center"/>
    </xf>
    <xf numFmtId="0" fontId="28" fillId="2" borderId="25" xfId="0" applyFont="1" applyFill="1" applyBorder="1" applyAlignment="1">
      <alignment horizontal="left" vertical="center"/>
    </xf>
    <xf numFmtId="0" fontId="28" fillId="2" borderId="35" xfId="0" applyFont="1" applyFill="1" applyBorder="1" applyAlignment="1">
      <alignment horizontal="left" vertical="center"/>
    </xf>
    <xf numFmtId="0" fontId="28" fillId="2" borderId="26" xfId="0" applyFont="1" applyFill="1" applyBorder="1" applyAlignment="1">
      <alignment horizontal="left" vertical="center"/>
    </xf>
    <xf numFmtId="166" fontId="28" fillId="0" borderId="0" xfId="0" applyNumberFormat="1" applyFont="1" applyFill="1" applyAlignment="1">
      <alignment horizontal="justify" vertical="top" wrapText="1"/>
    </xf>
    <xf numFmtId="0" fontId="46" fillId="53" borderId="152" xfId="0" applyFont="1" applyFill="1" applyBorder="1" applyAlignment="1">
      <alignment horizontal="center" vertical="center" wrapText="1"/>
    </xf>
    <xf numFmtId="0" fontId="0" fillId="53" borderId="152" xfId="0" applyFont="1" applyFill="1" applyBorder="1" applyAlignment="1">
      <alignment horizontal="left" vertical="center" wrapText="1"/>
    </xf>
    <xf numFmtId="0" fontId="0" fillId="53" borderId="152" xfId="0" applyFont="1" applyFill="1" applyBorder="1" applyAlignment="1">
      <alignment horizontal="center" vertical="center"/>
    </xf>
    <xf numFmtId="0" fontId="46" fillId="19" borderId="30" xfId="4" applyFont="1" applyFill="1" applyBorder="1" applyAlignment="1">
      <alignment horizontal="center"/>
    </xf>
    <xf numFmtId="0" fontId="46" fillId="19" borderId="0" xfId="4" applyFont="1" applyFill="1" applyBorder="1" applyAlignment="1">
      <alignment horizontal="center"/>
    </xf>
    <xf numFmtId="0" fontId="46" fillId="19" borderId="28" xfId="4" applyFont="1" applyFill="1" applyBorder="1" applyAlignment="1">
      <alignment horizontal="center"/>
    </xf>
    <xf numFmtId="0" fontId="46" fillId="19" borderId="35" xfId="4" applyFont="1" applyFill="1" applyBorder="1" applyAlignment="1">
      <alignment horizontal="center" vertical="center" wrapText="1"/>
    </xf>
    <xf numFmtId="0" fontId="31" fillId="19" borderId="35" xfId="4" applyFont="1" applyFill="1" applyBorder="1" applyAlignment="1">
      <alignment horizontal="center" vertical="center" wrapText="1"/>
    </xf>
    <xf numFmtId="0" fontId="31" fillId="19" borderId="26" xfId="4" applyFont="1" applyFill="1" applyBorder="1" applyAlignment="1">
      <alignment horizontal="center" vertical="center" wrapText="1"/>
    </xf>
    <xf numFmtId="0" fontId="46" fillId="19" borderId="30" xfId="4" applyFont="1" applyFill="1" applyBorder="1" applyAlignment="1">
      <alignment horizontal="center" vertical="center" wrapText="1"/>
    </xf>
    <xf numFmtId="0" fontId="46" fillId="19" borderId="0" xfId="4" applyFont="1" applyFill="1" applyBorder="1" applyAlignment="1">
      <alignment horizontal="center" vertical="center" wrapText="1"/>
    </xf>
    <xf numFmtId="0" fontId="46" fillId="19" borderId="28" xfId="4" applyFont="1" applyFill="1" applyBorder="1" applyAlignment="1">
      <alignment horizontal="center" vertical="center" wrapText="1"/>
    </xf>
    <xf numFmtId="0" fontId="59" fillId="17" borderId="25" xfId="4" applyFont="1" applyFill="1" applyBorder="1" applyAlignment="1">
      <alignment horizontal="center" vertical="center" wrapText="1"/>
    </xf>
    <xf numFmtId="0" fontId="59" fillId="17" borderId="35" xfId="4" applyFont="1" applyFill="1" applyBorder="1" applyAlignment="1">
      <alignment horizontal="center" vertical="center" wrapText="1"/>
    </xf>
    <xf numFmtId="0" fontId="59" fillId="17" borderId="25" xfId="4" applyFont="1" applyFill="1" applyBorder="1" applyAlignment="1">
      <alignment vertical="center" wrapText="1"/>
    </xf>
    <xf numFmtId="0" fontId="59" fillId="17" borderId="35" xfId="4" applyFont="1" applyFill="1" applyBorder="1" applyAlignment="1">
      <alignment vertical="center" wrapText="1"/>
    </xf>
    <xf numFmtId="0" fontId="59" fillId="17" borderId="26" xfId="4" applyFont="1" applyFill="1" applyBorder="1" applyAlignment="1">
      <alignment vertical="center" wrapText="1"/>
    </xf>
    <xf numFmtId="0" fontId="59" fillId="19" borderId="31" xfId="4" applyFont="1" applyFill="1" applyBorder="1" applyAlignment="1">
      <alignment horizontal="center" vertical="center" wrapText="1"/>
    </xf>
    <xf numFmtId="0" fontId="59" fillId="19" borderId="32" xfId="4" applyFont="1" applyFill="1" applyBorder="1" applyAlignment="1">
      <alignment horizontal="center" vertical="center" wrapText="1"/>
    </xf>
    <xf numFmtId="0" fontId="59" fillId="19" borderId="27" xfId="4" applyFont="1" applyFill="1" applyBorder="1" applyAlignment="1">
      <alignment horizontal="center" vertical="center" wrapText="1"/>
    </xf>
    <xf numFmtId="171" fontId="31" fillId="0" borderId="34" xfId="4" applyNumberFormat="1" applyFont="1" applyFill="1" applyBorder="1" applyAlignment="1">
      <alignment horizontal="center"/>
    </xf>
    <xf numFmtId="171" fontId="31" fillId="0" borderId="29" xfId="4" applyNumberFormat="1" applyFont="1" applyFill="1" applyBorder="1" applyAlignment="1">
      <alignment horizontal="center"/>
    </xf>
    <xf numFmtId="0" fontId="31" fillId="19" borderId="35" xfId="4" applyFont="1" applyFill="1" applyBorder="1" applyAlignment="1">
      <alignment horizontal="left" vertical="center" wrapText="1"/>
    </xf>
    <xf numFmtId="0" fontId="31" fillId="19" borderId="26" xfId="4" applyFont="1" applyFill="1" applyBorder="1" applyAlignment="1">
      <alignment horizontal="left" vertical="center" wrapText="1"/>
    </xf>
    <xf numFmtId="0" fontId="31" fillId="19" borderId="30" xfId="4" applyFont="1" applyFill="1" applyBorder="1" applyAlignment="1">
      <alignment horizontal="left" vertical="center" wrapText="1"/>
    </xf>
    <xf numFmtId="0" fontId="31" fillId="19" borderId="0" xfId="4" applyFont="1" applyFill="1" applyBorder="1" applyAlignment="1">
      <alignment horizontal="left" vertical="center" wrapText="1"/>
    </xf>
    <xf numFmtId="0" fontId="26" fillId="19" borderId="0" xfId="4" applyNumberFormat="1" applyFont="1" applyFill="1" applyBorder="1" applyAlignment="1">
      <alignment horizontal="left" vertical="center" wrapText="1"/>
    </xf>
    <xf numFmtId="0" fontId="26" fillId="19" borderId="28" xfId="4" applyNumberFormat="1" applyFont="1" applyFill="1" applyBorder="1" applyAlignment="1">
      <alignment horizontal="left" vertical="center" wrapText="1"/>
    </xf>
    <xf numFmtId="0" fontId="31" fillId="19" borderId="31" xfId="4" applyFont="1" applyFill="1" applyBorder="1" applyAlignment="1">
      <alignment horizontal="justify" vertical="center"/>
    </xf>
    <xf numFmtId="0" fontId="31" fillId="0" borderId="32" xfId="4" applyBorder="1" applyAlignment="1">
      <alignment horizontal="justify" vertical="center"/>
    </xf>
    <xf numFmtId="0" fontId="31" fillId="0" borderId="27" xfId="4" applyBorder="1" applyAlignment="1">
      <alignment horizontal="justify" vertical="center"/>
    </xf>
    <xf numFmtId="0" fontId="31" fillId="0" borderId="30" xfId="4" applyBorder="1" applyAlignment="1">
      <alignment horizontal="justify" vertical="center"/>
    </xf>
    <xf numFmtId="0" fontId="31" fillId="0" borderId="0" xfId="4" applyAlignment="1">
      <alignment horizontal="justify" vertical="center"/>
    </xf>
    <xf numFmtId="0" fontId="31" fillId="0" borderId="28" xfId="4" applyBorder="1" applyAlignment="1">
      <alignment horizontal="justify" vertical="center"/>
    </xf>
    <xf numFmtId="171" fontId="31" fillId="0" borderId="0" xfId="4" applyNumberFormat="1" applyFont="1" applyFill="1" applyBorder="1" applyAlignment="1">
      <alignment horizontal="center"/>
    </xf>
    <xf numFmtId="171" fontId="31" fillId="0" borderId="28" xfId="4" applyNumberFormat="1" applyFont="1" applyFill="1" applyBorder="1" applyAlignment="1">
      <alignment horizontal="center"/>
    </xf>
    <xf numFmtId="44" fontId="67" fillId="19" borderId="30" xfId="6" applyFont="1" applyFill="1" applyBorder="1" applyAlignment="1">
      <alignment horizontal="center" vertical="justify" wrapText="1"/>
    </xf>
    <xf numFmtId="44" fontId="67" fillId="19" borderId="0" xfId="6" applyFont="1" applyFill="1" applyBorder="1" applyAlignment="1">
      <alignment horizontal="center" vertical="justify" wrapText="1"/>
    </xf>
    <xf numFmtId="44" fontId="67" fillId="19" borderId="28" xfId="6" applyFont="1" applyFill="1" applyBorder="1" applyAlignment="1">
      <alignment horizontal="center" vertical="justify" wrapText="1"/>
    </xf>
    <xf numFmtId="0" fontId="26" fillId="19" borderId="30" xfId="4" applyFont="1" applyFill="1" applyBorder="1" applyAlignment="1">
      <alignment horizontal="center"/>
    </xf>
    <xf numFmtId="0" fontId="26" fillId="19" borderId="0" xfId="4" applyFont="1" applyFill="1" applyBorder="1" applyAlignment="1">
      <alignment horizontal="center"/>
    </xf>
    <xf numFmtId="0" fontId="26" fillId="19" borderId="33" xfId="4" applyFont="1" applyFill="1" applyBorder="1" applyAlignment="1">
      <alignment horizontal="center"/>
    </xf>
    <xf numFmtId="0" fontId="26" fillId="19" borderId="34" xfId="4" applyFont="1" applyFill="1" applyBorder="1" applyAlignment="1">
      <alignment horizontal="center"/>
    </xf>
    <xf numFmtId="49" fontId="27" fillId="19" borderId="30" xfId="4" applyNumberFormat="1" applyFont="1" applyFill="1" applyBorder="1" applyAlignment="1">
      <alignment horizontal="center"/>
    </xf>
    <xf numFmtId="49" fontId="26" fillId="19" borderId="0" xfId="4" applyNumberFormat="1" applyFont="1" applyFill="1" applyBorder="1" applyAlignment="1">
      <alignment horizontal="center"/>
    </xf>
    <xf numFmtId="49" fontId="26" fillId="19" borderId="28" xfId="4" applyNumberFormat="1" applyFont="1" applyFill="1" applyBorder="1" applyAlignment="1">
      <alignment horizontal="center"/>
    </xf>
    <xf numFmtId="49" fontId="26" fillId="19" borderId="33" xfId="4" applyNumberFormat="1" applyFont="1" applyFill="1" applyBorder="1" applyAlignment="1">
      <alignment horizontal="center"/>
    </xf>
    <xf numFmtId="49" fontId="26" fillId="19" borderId="34" xfId="4" applyNumberFormat="1" applyFont="1" applyFill="1" applyBorder="1" applyAlignment="1">
      <alignment horizontal="center"/>
    </xf>
    <xf numFmtId="49" fontId="26" fillId="19" borderId="29" xfId="4" applyNumberFormat="1" applyFont="1" applyFill="1" applyBorder="1" applyAlignment="1">
      <alignment horizontal="center"/>
    </xf>
    <xf numFmtId="14" fontId="27" fillId="19" borderId="30" xfId="4" applyNumberFormat="1" applyFont="1" applyFill="1" applyBorder="1" applyAlignment="1">
      <alignment horizontal="center"/>
    </xf>
    <xf numFmtId="0" fontId="26" fillId="19" borderId="28" xfId="4" applyFont="1" applyFill="1" applyBorder="1" applyAlignment="1">
      <alignment horizontal="center"/>
    </xf>
    <xf numFmtId="0" fontId="26" fillId="19" borderId="29" xfId="4" applyFont="1" applyFill="1" applyBorder="1" applyAlignment="1">
      <alignment horizontal="center"/>
    </xf>
    <xf numFmtId="0" fontId="31" fillId="19" borderId="30" xfId="4" applyFont="1" applyFill="1" applyBorder="1" applyAlignment="1">
      <alignment horizontal="justify" vertical="justify" wrapText="1"/>
    </xf>
    <xf numFmtId="0" fontId="31" fillId="19" borderId="0" xfId="4" applyFont="1" applyFill="1" applyBorder="1" applyAlignment="1">
      <alignment horizontal="justify" vertical="justify" wrapText="1"/>
    </xf>
    <xf numFmtId="0" fontId="31" fillId="19" borderId="28" xfId="4" applyFont="1" applyFill="1" applyBorder="1" applyAlignment="1">
      <alignment horizontal="justify" vertical="justify" wrapText="1"/>
    </xf>
    <xf numFmtId="0" fontId="31" fillId="19" borderId="31" xfId="4" applyFont="1" applyFill="1" applyBorder="1" applyAlignment="1">
      <alignment horizontal="justify" vertical="justify" wrapText="1"/>
    </xf>
    <xf numFmtId="0" fontId="31" fillId="19" borderId="32" xfId="4" applyFont="1" applyFill="1" applyBorder="1" applyAlignment="1">
      <alignment horizontal="justify" vertical="justify" wrapText="1"/>
    </xf>
    <xf numFmtId="0" fontId="31" fillId="19" borderId="27" xfId="4" applyFont="1" applyFill="1" applyBorder="1" applyAlignment="1">
      <alignment horizontal="justify" vertical="justify" wrapText="1"/>
    </xf>
    <xf numFmtId="0" fontId="31" fillId="0" borderId="30" xfId="4" applyFont="1" applyFill="1" applyBorder="1" applyAlignment="1">
      <alignment horizontal="justify" vertical="justify" wrapText="1"/>
    </xf>
    <xf numFmtId="0" fontId="31" fillId="0" borderId="0" xfId="4" applyFont="1" applyFill="1" applyBorder="1" applyAlignment="1">
      <alignment horizontal="justify" vertical="justify" wrapText="1"/>
    </xf>
    <xf numFmtId="0" fontId="31" fillId="0" borderId="28" xfId="4" applyFont="1" applyFill="1" applyBorder="1" applyAlignment="1">
      <alignment horizontal="justify" vertical="justify" wrapText="1"/>
    </xf>
    <xf numFmtId="0" fontId="31" fillId="19" borderId="30" xfId="4" applyFont="1" applyFill="1" applyBorder="1" applyAlignment="1">
      <alignment horizontal="left" wrapText="1"/>
    </xf>
    <xf numFmtId="0" fontId="31" fillId="19" borderId="0" xfId="4" applyFont="1" applyFill="1" applyBorder="1" applyAlignment="1">
      <alignment horizontal="left"/>
    </xf>
    <xf numFmtId="0" fontId="31" fillId="19" borderId="28" xfId="4" applyFont="1" applyFill="1" applyBorder="1" applyAlignment="1">
      <alignment horizontal="left"/>
    </xf>
    <xf numFmtId="0" fontId="31" fillId="19" borderId="30" xfId="4" applyFont="1" applyFill="1" applyBorder="1" applyAlignment="1">
      <alignment horizontal="justify" vertical="center" wrapText="1"/>
    </xf>
    <xf numFmtId="0" fontId="31" fillId="19" borderId="0" xfId="4" applyFont="1" applyFill="1" applyBorder="1" applyAlignment="1">
      <alignment horizontal="justify" vertical="center" wrapText="1"/>
    </xf>
    <xf numFmtId="0" fontId="31" fillId="19" borderId="28" xfId="4" applyFont="1" applyFill="1" applyBorder="1" applyAlignment="1">
      <alignment horizontal="justify" vertical="center" wrapText="1"/>
    </xf>
    <xf numFmtId="0" fontId="31" fillId="19" borderId="30" xfId="4" applyFont="1" applyFill="1" applyBorder="1" applyAlignment="1">
      <alignment horizontal="justify" wrapText="1"/>
    </xf>
    <xf numFmtId="0" fontId="47" fillId="19" borderId="0" xfId="4" applyFont="1" applyFill="1" applyBorder="1" applyAlignment="1">
      <alignment horizontal="justify" wrapText="1"/>
    </xf>
    <xf numFmtId="0" fontId="47" fillId="19" borderId="28" xfId="4" applyFont="1" applyFill="1" applyBorder="1" applyAlignment="1">
      <alignment horizontal="justify" wrapText="1"/>
    </xf>
    <xf numFmtId="0" fontId="31" fillId="19" borderId="0" xfId="4" applyFont="1" applyFill="1" applyBorder="1" applyAlignment="1">
      <alignment horizontal="center"/>
    </xf>
    <xf numFmtId="0" fontId="31" fillId="19" borderId="30" xfId="4" applyFont="1" applyFill="1" applyBorder="1" applyAlignment="1">
      <alignment horizontal="center"/>
    </xf>
    <xf numFmtId="0" fontId="31" fillId="19" borderId="30" xfId="4" applyFont="1" applyFill="1" applyBorder="1" applyAlignment="1">
      <alignment horizontal="center" wrapText="1"/>
    </xf>
    <xf numFmtId="0" fontId="31" fillId="19" borderId="0" xfId="4" applyFont="1" applyFill="1" applyBorder="1" applyAlignment="1">
      <alignment horizontal="center" wrapText="1"/>
    </xf>
    <xf numFmtId="0" fontId="31" fillId="0" borderId="0" xfId="4" applyFont="1" applyFill="1" applyBorder="1" applyAlignment="1">
      <alignment horizontal="center"/>
    </xf>
    <xf numFmtId="0" fontId="75" fillId="19" borderId="0" xfId="4" applyFont="1" applyFill="1" applyBorder="1" applyAlignment="1">
      <alignment horizontal="right" vertical="top"/>
    </xf>
    <xf numFmtId="0" fontId="46" fillId="53" borderId="152" xfId="0" applyFont="1" applyFill="1" applyBorder="1" applyAlignment="1">
      <alignment horizontal="center" vertical="center"/>
    </xf>
    <xf numFmtId="0" fontId="124" fillId="2" borderId="0" xfId="0" applyFont="1" applyFill="1" applyAlignment="1">
      <alignment vertical="center"/>
    </xf>
    <xf numFmtId="0" fontId="124" fillId="2" borderId="34" xfId="0" applyFont="1" applyFill="1" applyBorder="1" applyAlignment="1">
      <alignment vertical="center"/>
    </xf>
    <xf numFmtId="0" fontId="31" fillId="19" borderId="0" xfId="4" applyFont="1" applyFill="1" applyBorder="1" applyAlignment="1">
      <alignment horizontal="justify" vertical="center"/>
    </xf>
    <xf numFmtId="0" fontId="31" fillId="19" borderId="28" xfId="4" applyFont="1" applyFill="1" applyBorder="1" applyAlignment="1">
      <alignment horizontal="justify" vertical="center"/>
    </xf>
    <xf numFmtId="0" fontId="68" fillId="19" borderId="30" xfId="4" applyFont="1" applyFill="1" applyBorder="1" applyAlignment="1">
      <alignment horizontal="center" wrapText="1"/>
    </xf>
    <xf numFmtId="0" fontId="68" fillId="19" borderId="0" xfId="4" applyFont="1" applyFill="1" applyBorder="1" applyAlignment="1">
      <alignment horizontal="center" wrapText="1"/>
    </xf>
    <xf numFmtId="0" fontId="68" fillId="19" borderId="28" xfId="4" applyFont="1" applyFill="1" applyBorder="1" applyAlignment="1">
      <alignment horizontal="center" wrapText="1"/>
    </xf>
    <xf numFmtId="0" fontId="69" fillId="19" borderId="33" xfId="4" applyFont="1" applyFill="1" applyBorder="1" applyAlignment="1">
      <alignment horizontal="justify" wrapText="1"/>
    </xf>
    <xf numFmtId="0" fontId="69" fillId="19" borderId="34" xfId="4" applyFont="1" applyFill="1" applyBorder="1" applyAlignment="1">
      <alignment horizontal="justify"/>
    </xf>
    <xf numFmtId="0" fontId="69" fillId="19" borderId="29" xfId="4" applyFont="1" applyFill="1" applyBorder="1" applyAlignment="1">
      <alignment horizontal="justify"/>
    </xf>
    <xf numFmtId="0" fontId="31" fillId="19" borderId="31" xfId="4" applyFont="1" applyFill="1" applyBorder="1" applyAlignment="1">
      <alignment horizontal="justify" vertical="center" wrapText="1"/>
    </xf>
    <xf numFmtId="0" fontId="70" fillId="19" borderId="32" xfId="4" applyFont="1" applyFill="1" applyBorder="1" applyAlignment="1">
      <alignment horizontal="justify" vertical="center" wrapText="1"/>
    </xf>
    <xf numFmtId="0" fontId="70" fillId="19" borderId="27" xfId="4" applyFont="1" applyFill="1" applyBorder="1" applyAlignment="1">
      <alignment horizontal="justify" vertical="center" wrapText="1"/>
    </xf>
    <xf numFmtId="0" fontId="71" fillId="19" borderId="30" xfId="4" applyFont="1" applyFill="1" applyBorder="1" applyAlignment="1">
      <alignment horizontal="center"/>
    </xf>
    <xf numFmtId="0" fontId="71" fillId="19" borderId="0" xfId="4" applyFont="1" applyFill="1" applyBorder="1" applyAlignment="1">
      <alignment horizontal="center"/>
    </xf>
    <xf numFmtId="0" fontId="71" fillId="19" borderId="0" xfId="7" applyFont="1" applyFill="1" applyBorder="1" applyAlignment="1">
      <alignment horizontal="center" vertical="center" wrapText="1"/>
    </xf>
    <xf numFmtId="0" fontId="28" fillId="2" borderId="0" xfId="0" applyFont="1" applyFill="1" applyAlignment="1">
      <alignment horizontal="center" vertical="center"/>
    </xf>
    <xf numFmtId="0" fontId="29" fillId="2" borderId="0" xfId="0" applyFont="1" applyFill="1" applyAlignment="1">
      <alignment horizontal="center" vertical="center"/>
    </xf>
    <xf numFmtId="0" fontId="30" fillId="5" borderId="35" xfId="0" applyFont="1" applyFill="1" applyBorder="1" applyAlignment="1">
      <alignment horizontal="left" vertical="center" wrapText="1"/>
    </xf>
    <xf numFmtId="0" fontId="30" fillId="5" borderId="26" xfId="0" applyFont="1" applyFill="1" applyBorder="1" applyAlignment="1">
      <alignment horizontal="left" vertical="center" wrapText="1"/>
    </xf>
    <xf numFmtId="0" fontId="116" fillId="50" borderId="32" xfId="0" applyFont="1" applyFill="1" applyBorder="1" applyAlignment="1">
      <alignment horizontal="center" vertical="center" wrapText="1"/>
    </xf>
    <xf numFmtId="0" fontId="116" fillId="50" borderId="67" xfId="0" applyFont="1" applyFill="1" applyBorder="1" applyAlignment="1">
      <alignment horizontal="center" vertical="center" wrapText="1"/>
    </xf>
    <xf numFmtId="0" fontId="30" fillId="5" borderId="35" xfId="0" applyFont="1" applyFill="1" applyBorder="1" applyAlignment="1">
      <alignment horizontal="left" vertical="center"/>
    </xf>
    <xf numFmtId="0" fontId="30" fillId="5" borderId="26" xfId="0" applyFont="1" applyFill="1" applyBorder="1" applyAlignment="1">
      <alignment horizontal="left" vertical="center"/>
    </xf>
    <xf numFmtId="0" fontId="81" fillId="6" borderId="61" xfId="0" applyFont="1" applyFill="1" applyBorder="1" applyAlignment="1">
      <alignment horizontal="center" vertical="center" wrapText="1"/>
    </xf>
    <xf numFmtId="0" fontId="81" fillId="6" borderId="62" xfId="0" applyFont="1" applyFill="1" applyBorder="1" applyAlignment="1">
      <alignment horizontal="center" vertical="center" wrapText="1"/>
    </xf>
    <xf numFmtId="0" fontId="81" fillId="6" borderId="107" xfId="0" applyFont="1" applyFill="1" applyBorder="1" applyAlignment="1">
      <alignment horizontal="center" vertical="center" wrapText="1"/>
    </xf>
    <xf numFmtId="0" fontId="81" fillId="6" borderId="63" xfId="0" applyFont="1" applyFill="1" applyBorder="1" applyAlignment="1">
      <alignment horizontal="center" vertical="center" wrapText="1"/>
    </xf>
    <xf numFmtId="0" fontId="81" fillId="6" borderId="0" xfId="0" applyFont="1" applyFill="1" applyBorder="1" applyAlignment="1">
      <alignment horizontal="center" vertical="center" wrapText="1"/>
    </xf>
    <xf numFmtId="0" fontId="81" fillId="6" borderId="64" xfId="0" applyFont="1" applyFill="1" applyBorder="1" applyAlignment="1">
      <alignment horizontal="center" vertical="center" wrapText="1"/>
    </xf>
    <xf numFmtId="0" fontId="81" fillId="6" borderId="66" xfId="0" applyFont="1" applyFill="1" applyBorder="1" applyAlignment="1">
      <alignment horizontal="center" vertical="center" wrapText="1"/>
    </xf>
    <xf numFmtId="0" fontId="81" fillId="6" borderId="67" xfId="0" applyFont="1" applyFill="1" applyBorder="1" applyAlignment="1">
      <alignment horizontal="center" vertical="center" wrapText="1"/>
    </xf>
    <xf numFmtId="0" fontId="81" fillId="6" borderId="68" xfId="0" applyFont="1" applyFill="1" applyBorder="1" applyAlignment="1">
      <alignment horizontal="center" vertical="center" wrapText="1"/>
    </xf>
    <xf numFmtId="0" fontId="30" fillId="6" borderId="57" xfId="0" applyFont="1" applyFill="1" applyBorder="1" applyAlignment="1">
      <alignment horizontal="center" vertical="center" wrapText="1"/>
    </xf>
    <xf numFmtId="178" fontId="30" fillId="21" borderId="56" xfId="0" applyNumberFormat="1" applyFont="1" applyFill="1" applyBorder="1" applyAlignment="1">
      <alignment horizontal="center" vertical="center"/>
    </xf>
    <xf numFmtId="178" fontId="30" fillId="21" borderId="58" xfId="0" applyNumberFormat="1" applyFont="1" applyFill="1" applyBorder="1" applyAlignment="1">
      <alignment horizontal="center" vertical="center"/>
    </xf>
    <xf numFmtId="166" fontId="37" fillId="9" borderId="149" xfId="0" applyNumberFormat="1" applyFont="1" applyFill="1" applyBorder="1" applyAlignment="1">
      <alignment horizontal="center" vertical="center" wrapText="1"/>
    </xf>
    <xf numFmtId="178" fontId="30" fillId="21" borderId="57" xfId="0" applyNumberFormat="1" applyFont="1" applyFill="1" applyBorder="1" applyAlignment="1">
      <alignment horizontal="center" vertical="center"/>
    </xf>
    <xf numFmtId="0" fontId="30" fillId="6" borderId="62" xfId="0" applyFont="1" applyFill="1" applyBorder="1" applyAlignment="1">
      <alignment horizontal="center" vertical="center" wrapText="1"/>
    </xf>
    <xf numFmtId="179" fontId="30" fillId="21" borderId="56" xfId="17" applyNumberFormat="1" applyFont="1" applyFill="1" applyBorder="1" applyAlignment="1">
      <alignment horizontal="left" vertical="center"/>
    </xf>
    <xf numFmtId="179" fontId="30" fillId="21" borderId="57" xfId="17" applyNumberFormat="1" applyFont="1" applyFill="1" applyBorder="1" applyAlignment="1">
      <alignment horizontal="left" vertical="center"/>
    </xf>
    <xf numFmtId="179" fontId="30" fillId="21" borderId="58" xfId="17" applyNumberFormat="1" applyFont="1" applyFill="1" applyBorder="1" applyAlignment="1">
      <alignment horizontal="left" vertical="center"/>
    </xf>
    <xf numFmtId="0" fontId="81" fillId="11" borderId="27" xfId="0" applyFont="1" applyFill="1" applyBorder="1" applyAlignment="1">
      <alignment horizontal="center" vertical="center"/>
    </xf>
    <xf numFmtId="0" fontId="81" fillId="11" borderId="28" xfId="0" applyFont="1" applyFill="1" applyBorder="1" applyAlignment="1">
      <alignment horizontal="center" vertical="center"/>
    </xf>
    <xf numFmtId="0" fontId="78" fillId="2" borderId="0" xfId="0" applyFont="1" applyFill="1" applyBorder="1" applyAlignment="1">
      <alignment horizontal="center" vertical="center" wrapText="1"/>
    </xf>
    <xf numFmtId="0" fontId="78" fillId="2" borderId="28" xfId="0" applyFont="1" applyFill="1" applyBorder="1" applyAlignment="1">
      <alignment horizontal="center" vertical="center" wrapText="1"/>
    </xf>
    <xf numFmtId="181" fontId="30" fillId="6" borderId="57" xfId="0" applyNumberFormat="1" applyFont="1" applyFill="1" applyBorder="1" applyAlignment="1">
      <alignment horizontal="center" vertical="center" wrapText="1"/>
    </xf>
    <xf numFmtId="181" fontId="30" fillId="6" borderId="58" xfId="0" applyNumberFormat="1" applyFont="1" applyFill="1" applyBorder="1" applyAlignment="1">
      <alignment horizontal="center" vertical="center" wrapText="1"/>
    </xf>
    <xf numFmtId="10" fontId="30" fillId="22" borderId="56" xfId="1" applyNumberFormat="1" applyFont="1" applyFill="1" applyBorder="1" applyAlignment="1">
      <alignment horizontal="right" vertical="center" wrapText="1"/>
    </xf>
    <xf numFmtId="10" fontId="30" fillId="22" borderId="57" xfId="1" applyNumberFormat="1" applyFont="1" applyFill="1" applyBorder="1" applyAlignment="1">
      <alignment horizontal="right" vertical="center" wrapText="1"/>
    </xf>
    <xf numFmtId="10" fontId="30" fillId="22" borderId="58" xfId="1" applyNumberFormat="1" applyFont="1" applyFill="1" applyBorder="1" applyAlignment="1">
      <alignment horizontal="right" vertical="center" wrapText="1"/>
    </xf>
    <xf numFmtId="0" fontId="30" fillId="6" borderId="115" xfId="0" applyFont="1" applyFill="1" applyBorder="1" applyAlignment="1">
      <alignment horizontal="left" vertical="center"/>
    </xf>
    <xf numFmtId="0" fontId="30" fillId="6" borderId="34" xfId="0" applyFont="1" applyFill="1" applyBorder="1" applyAlignment="1">
      <alignment horizontal="left" vertical="center"/>
    </xf>
    <xf numFmtId="0" fontId="30" fillId="22" borderId="56" xfId="0" applyFont="1" applyFill="1" applyBorder="1" applyAlignment="1">
      <alignment horizontal="left" vertical="center"/>
    </xf>
    <xf numFmtId="0" fontId="30" fillId="22" borderId="57" xfId="0" applyFont="1" applyFill="1" applyBorder="1" applyAlignment="1">
      <alignment horizontal="left" vertical="center"/>
    </xf>
    <xf numFmtId="0" fontId="30" fillId="22" borderId="58" xfId="0" applyFont="1" applyFill="1" applyBorder="1" applyAlignment="1">
      <alignment horizontal="left" vertical="center"/>
    </xf>
    <xf numFmtId="0" fontId="77" fillId="2" borderId="34" xfId="0" applyFont="1" applyFill="1" applyBorder="1" applyAlignment="1">
      <alignment horizontal="center"/>
    </xf>
    <xf numFmtId="0" fontId="77" fillId="2" borderId="29" xfId="0" applyFont="1" applyFill="1" applyBorder="1" applyAlignment="1">
      <alignment horizontal="center"/>
    </xf>
    <xf numFmtId="0" fontId="30" fillId="6" borderId="32" xfId="0" applyFont="1" applyFill="1" applyBorder="1" applyAlignment="1">
      <alignment horizontal="justify" vertical="center"/>
    </xf>
    <xf numFmtId="0" fontId="30" fillId="6" borderId="114" xfId="0" applyFont="1" applyFill="1" applyBorder="1" applyAlignment="1">
      <alignment horizontal="justify" vertical="center"/>
    </xf>
    <xf numFmtId="0" fontId="77" fillId="11" borderId="148" xfId="0" applyFont="1" applyFill="1" applyBorder="1" applyAlignment="1">
      <alignment horizontal="center"/>
    </xf>
    <xf numFmtId="0" fontId="77" fillId="11" borderId="67" xfId="0" applyFont="1" applyFill="1" applyBorder="1" applyAlignment="1">
      <alignment horizontal="center"/>
    </xf>
    <xf numFmtId="0" fontId="77" fillId="11" borderId="30" xfId="0" applyFont="1" applyFill="1" applyBorder="1" applyAlignment="1">
      <alignment horizontal="center"/>
    </xf>
    <xf numFmtId="0" fontId="77" fillId="11" borderId="0" xfId="0" applyFont="1" applyFill="1" applyBorder="1" applyAlignment="1">
      <alignment horizontal="center"/>
    </xf>
    <xf numFmtId="0" fontId="30" fillId="14" borderId="62" xfId="0" applyFont="1" applyFill="1" applyBorder="1" applyAlignment="1">
      <alignment horizontal="center" vertical="center" wrapText="1"/>
    </xf>
    <xf numFmtId="0" fontId="30" fillId="14" borderId="107" xfId="0" applyFont="1" applyFill="1" applyBorder="1" applyAlignment="1">
      <alignment horizontal="center" vertical="center" wrapText="1"/>
    </xf>
    <xf numFmtId="0" fontId="30" fillId="6" borderId="61" xfId="0" applyFont="1" applyFill="1" applyBorder="1" applyAlignment="1">
      <alignment horizontal="center" vertical="center" wrapText="1"/>
    </xf>
    <xf numFmtId="0" fontId="30" fillId="6" borderId="107" xfId="0" applyFont="1" applyFill="1" applyBorder="1" applyAlignment="1">
      <alignment horizontal="center" vertical="center" wrapText="1"/>
    </xf>
    <xf numFmtId="0" fontId="30" fillId="51" borderId="67" xfId="0" applyFont="1" applyFill="1" applyBorder="1" applyAlignment="1">
      <alignment horizontal="center" vertical="center" wrapText="1"/>
    </xf>
    <xf numFmtId="0" fontId="79" fillId="0" borderId="27" xfId="0" applyFont="1" applyBorder="1" applyAlignment="1">
      <alignment horizontal="center" vertical="center" wrapText="1"/>
    </xf>
    <xf numFmtId="0" fontId="79" fillId="0" borderId="28" xfId="0" applyFont="1" applyBorder="1" applyAlignment="1">
      <alignment horizontal="center" vertical="center" wrapText="1"/>
    </xf>
    <xf numFmtId="0" fontId="79" fillId="0" borderId="29" xfId="0" applyFont="1" applyBorder="1" applyAlignment="1">
      <alignment horizontal="center" vertical="center" wrapText="1"/>
    </xf>
    <xf numFmtId="0" fontId="81" fillId="6" borderId="62" xfId="0" applyFont="1" applyFill="1" applyBorder="1" applyAlignment="1">
      <alignment horizontal="center" vertical="center"/>
    </xf>
    <xf numFmtId="0" fontId="81" fillId="6" borderId="129" xfId="0" applyFont="1" applyFill="1" applyBorder="1" applyAlignment="1">
      <alignment horizontal="center" vertical="center"/>
    </xf>
    <xf numFmtId="0" fontId="83" fillId="0" borderId="110" xfId="0" applyFont="1" applyFill="1" applyBorder="1" applyAlignment="1">
      <alignment horizontal="left" vertical="top"/>
    </xf>
    <xf numFmtId="0" fontId="83" fillId="0" borderId="115" xfId="0" applyFont="1" applyFill="1" applyBorder="1" applyAlignment="1">
      <alignment horizontal="left" vertical="top"/>
    </xf>
    <xf numFmtId="0" fontId="83" fillId="0" borderId="109" xfId="0" applyFont="1" applyFill="1" applyBorder="1" applyAlignment="1">
      <alignment horizontal="left" vertical="top"/>
    </xf>
    <xf numFmtId="0" fontId="81" fillId="5" borderId="25" xfId="0" applyFont="1" applyFill="1" applyBorder="1" applyAlignment="1">
      <alignment vertical="center"/>
    </xf>
    <xf numFmtId="0" fontId="81" fillId="5" borderId="35" xfId="0" applyFont="1" applyFill="1" applyBorder="1" applyAlignment="1">
      <alignment vertical="center"/>
    </xf>
    <xf numFmtId="0" fontId="81" fillId="26" borderId="150" xfId="0" applyFont="1" applyFill="1" applyBorder="1" applyAlignment="1">
      <alignment vertical="center"/>
    </xf>
    <xf numFmtId="0" fontId="81" fillId="26" borderId="114" xfId="0" applyFont="1" applyFill="1" applyBorder="1" applyAlignment="1">
      <alignment vertical="center"/>
    </xf>
    <xf numFmtId="0" fontId="81" fillId="26" borderId="25" xfId="0" applyFont="1" applyFill="1" applyBorder="1" applyAlignment="1">
      <alignment vertical="center"/>
    </xf>
    <xf numFmtId="0" fontId="81" fillId="26" borderId="35" xfId="0" applyFont="1" applyFill="1" applyBorder="1" applyAlignment="1">
      <alignment vertical="center"/>
    </xf>
    <xf numFmtId="0" fontId="81" fillId="26" borderId="119" xfId="0" applyFont="1" applyFill="1" applyBorder="1" applyAlignment="1">
      <alignment vertical="center"/>
    </xf>
    <xf numFmtId="0" fontId="84" fillId="0" borderId="25" xfId="0" applyFont="1" applyFill="1" applyBorder="1" applyAlignment="1">
      <alignment horizontal="left" vertical="center" wrapText="1"/>
    </xf>
    <xf numFmtId="0" fontId="84" fillId="0" borderId="35" xfId="0" applyFont="1" applyFill="1" applyBorder="1" applyAlignment="1">
      <alignment horizontal="left" vertical="center" wrapText="1"/>
    </xf>
    <xf numFmtId="0" fontId="84" fillId="0" borderId="26" xfId="0" applyFont="1" applyFill="1" applyBorder="1" applyAlignment="1">
      <alignment horizontal="left" vertical="center" wrapText="1"/>
    </xf>
    <xf numFmtId="0" fontId="83" fillId="0" borderId="111" xfId="0" applyFont="1" applyBorder="1" applyAlignment="1">
      <alignment horizontal="center" vertical="center" wrapText="1"/>
    </xf>
    <xf numFmtId="0" fontId="83" fillId="0" borderId="26" xfId="0" applyFont="1" applyBorder="1" applyAlignment="1">
      <alignment horizontal="center" vertical="center" wrapText="1"/>
    </xf>
    <xf numFmtId="0" fontId="83" fillId="0" borderId="35" xfId="0" applyFont="1" applyBorder="1" applyAlignment="1">
      <alignment horizontal="center" vertical="center" wrapText="1"/>
    </xf>
    <xf numFmtId="0" fontId="83" fillId="0" borderId="25" xfId="0" applyFont="1" applyBorder="1" applyAlignment="1">
      <alignment horizontal="center" vertical="center" wrapText="1"/>
    </xf>
    <xf numFmtId="0" fontId="83" fillId="0" borderId="25" xfId="0" applyFont="1" applyFill="1" applyBorder="1" applyAlignment="1">
      <alignment horizontal="left" vertical="top"/>
    </xf>
    <xf numFmtId="0" fontId="83" fillId="0" borderId="35" xfId="0" applyFont="1" applyFill="1" applyBorder="1" applyAlignment="1">
      <alignment horizontal="left" vertical="top"/>
    </xf>
    <xf numFmtId="0" fontId="83" fillId="0" borderId="26" xfId="0" applyFont="1" applyFill="1" applyBorder="1" applyAlignment="1">
      <alignment horizontal="left" vertical="top"/>
    </xf>
    <xf numFmtId="0" fontId="84" fillId="0" borderId="25" xfId="0" applyFont="1" applyBorder="1" applyAlignment="1">
      <alignment horizontal="left" vertical="top" wrapText="1"/>
    </xf>
    <xf numFmtId="0" fontId="84" fillId="0" borderId="35" xfId="0" applyFont="1" applyBorder="1" applyAlignment="1">
      <alignment horizontal="left" vertical="top" wrapText="1"/>
    </xf>
    <xf numFmtId="0" fontId="84" fillId="0" borderId="26" xfId="0" applyFont="1" applyBorder="1" applyAlignment="1">
      <alignment horizontal="left" vertical="top" wrapText="1"/>
    </xf>
    <xf numFmtId="0" fontId="87" fillId="0" borderId="25" xfId="0" applyFont="1" applyBorder="1" applyAlignment="1">
      <alignment horizontal="center" vertical="top" wrapText="1"/>
    </xf>
    <xf numFmtId="0" fontId="87" fillId="0" borderId="35" xfId="0" applyFont="1" applyBorder="1" applyAlignment="1">
      <alignment horizontal="center" vertical="top" wrapText="1"/>
    </xf>
    <xf numFmtId="0" fontId="87" fillId="0" borderId="26" xfId="0" applyFont="1" applyBorder="1" applyAlignment="1">
      <alignment horizontal="center" vertical="top" wrapText="1"/>
    </xf>
    <xf numFmtId="0" fontId="81" fillId="5" borderId="108" xfId="0" applyFont="1" applyFill="1" applyBorder="1" applyAlignment="1">
      <alignment horizontal="center" vertical="center"/>
    </xf>
    <xf numFmtId="0" fontId="81" fillId="5" borderId="109" xfId="0" applyFont="1" applyFill="1" applyBorder="1" applyAlignment="1">
      <alignment horizontal="center" vertical="center"/>
    </xf>
    <xf numFmtId="0" fontId="94" fillId="0" borderId="0" xfId="19" applyFont="1" applyFill="1" applyBorder="1" applyAlignment="1">
      <alignment horizontal="left" vertical="center" wrapText="1"/>
    </xf>
    <xf numFmtId="0" fontId="94" fillId="0" borderId="67" xfId="19" applyFont="1" applyFill="1" applyBorder="1" applyAlignment="1">
      <alignment horizontal="left" vertical="center" wrapText="1"/>
    </xf>
    <xf numFmtId="0" fontId="94" fillId="0" borderId="25" xfId="19" applyFont="1" applyFill="1" applyBorder="1" applyAlignment="1">
      <alignment horizontal="left" vertical="center" wrapText="1"/>
    </xf>
    <xf numFmtId="0" fontId="94" fillId="0" borderId="35" xfId="19" applyFont="1" applyFill="1" applyBorder="1" applyAlignment="1">
      <alignment horizontal="left" vertical="center" wrapText="1"/>
    </xf>
    <xf numFmtId="0" fontId="94" fillId="0" borderId="26" xfId="19" applyFont="1" applyFill="1" applyBorder="1" applyAlignment="1">
      <alignment horizontal="left" vertical="center" wrapText="1"/>
    </xf>
    <xf numFmtId="4" fontId="48" fillId="0" borderId="0" xfId="4" applyNumberFormat="1" applyFont="1" applyFill="1" applyBorder="1" applyAlignment="1" applyProtection="1">
      <alignment horizontal="center" vertical="center"/>
      <protection locked="0"/>
    </xf>
    <xf numFmtId="4" fontId="48" fillId="0" borderId="28" xfId="4" applyNumberFormat="1" applyFont="1" applyFill="1" applyBorder="1" applyAlignment="1" applyProtection="1">
      <alignment horizontal="center" vertical="center"/>
      <protection locked="0"/>
    </xf>
    <xf numFmtId="0" fontId="94" fillId="0" borderId="31" xfId="19" applyFont="1" applyFill="1" applyBorder="1" applyAlignment="1">
      <alignment horizontal="left" vertical="center" wrapText="1"/>
    </xf>
    <xf numFmtId="0" fontId="94" fillId="0" borderId="32" xfId="19" applyFont="1" applyFill="1" applyBorder="1" applyAlignment="1">
      <alignment horizontal="left" vertical="center" wrapText="1"/>
    </xf>
    <xf numFmtId="0" fontId="94" fillId="0" borderId="27" xfId="19" applyFont="1" applyFill="1" applyBorder="1" applyAlignment="1">
      <alignment horizontal="left" vertical="center" wrapText="1"/>
    </xf>
    <xf numFmtId="3" fontId="50" fillId="0" borderId="32" xfId="20" applyNumberFormat="1" applyFont="1" applyFill="1" applyBorder="1" applyAlignment="1" applyProtection="1">
      <alignment horizontal="center" vertical="center"/>
      <protection locked="0"/>
    </xf>
    <xf numFmtId="4" fontId="50" fillId="0" borderId="0" xfId="4" applyNumberFormat="1" applyFont="1" applyFill="1" applyBorder="1" applyAlignment="1" applyProtection="1">
      <alignment horizontal="center" vertical="center"/>
      <protection locked="0"/>
    </xf>
    <xf numFmtId="4" fontId="50" fillId="0" borderId="28" xfId="4" applyNumberFormat="1" applyFont="1" applyFill="1" applyBorder="1" applyAlignment="1" applyProtection="1">
      <alignment horizontal="center" vertical="center"/>
      <protection locked="0"/>
    </xf>
    <xf numFmtId="3" fontId="48" fillId="0" borderId="0" xfId="20" applyNumberFormat="1" applyFont="1" applyFill="1" applyBorder="1" applyAlignment="1" applyProtection="1">
      <alignment horizontal="center" vertical="center"/>
      <protection locked="0"/>
    </xf>
    <xf numFmtId="0" fontId="117" fillId="2" borderId="31" xfId="0" applyFont="1" applyFill="1" applyBorder="1" applyAlignment="1">
      <alignment horizontal="center" vertical="center" wrapText="1"/>
    </xf>
    <xf numFmtId="0" fontId="117" fillId="2" borderId="32" xfId="0" applyFont="1" applyFill="1" applyBorder="1" applyAlignment="1">
      <alignment horizontal="center" vertical="center" wrapText="1"/>
    </xf>
    <xf numFmtId="0" fontId="117" fillId="2" borderId="27" xfId="0" applyFont="1" applyFill="1" applyBorder="1" applyAlignment="1">
      <alignment horizontal="center" vertical="center" wrapText="1"/>
    </xf>
    <xf numFmtId="0" fontId="117" fillId="2" borderId="30" xfId="0" applyFont="1" applyFill="1" applyBorder="1" applyAlignment="1">
      <alignment horizontal="center" vertical="center" wrapText="1"/>
    </xf>
    <xf numFmtId="0" fontId="117" fillId="2" borderId="0" xfId="0" applyFont="1" applyFill="1" applyBorder="1" applyAlignment="1">
      <alignment horizontal="center" vertical="center" wrapText="1"/>
    </xf>
    <xf numFmtId="0" fontId="117" fillId="2" borderId="28" xfId="0" applyFont="1" applyFill="1" applyBorder="1" applyAlignment="1">
      <alignment horizontal="center" vertical="center" wrapText="1"/>
    </xf>
    <xf numFmtId="0" fontId="81" fillId="5" borderId="110" xfId="0" applyFont="1" applyFill="1" applyBorder="1" applyAlignment="1">
      <alignment vertical="center"/>
    </xf>
    <xf numFmtId="0" fontId="81" fillId="5" borderId="115" xfId="0" applyFont="1" applyFill="1" applyBorder="1" applyAlignment="1">
      <alignment vertical="center"/>
    </xf>
    <xf numFmtId="0" fontId="82" fillId="5" borderId="25" xfId="0" applyFont="1" applyFill="1" applyBorder="1" applyAlignment="1">
      <alignment vertical="center"/>
    </xf>
    <xf numFmtId="0" fontId="82" fillId="5" borderId="35" xfId="0" applyFont="1" applyFill="1" applyBorder="1" applyAlignment="1">
      <alignment vertical="center"/>
    </xf>
    <xf numFmtId="0" fontId="90" fillId="0" borderId="25" xfId="0" applyFont="1" applyFill="1" applyBorder="1" applyAlignment="1">
      <alignment horizontal="center" vertical="center" wrapText="1"/>
    </xf>
    <xf numFmtId="0" fontId="90" fillId="0" borderId="35" xfId="0" applyFont="1" applyFill="1" applyBorder="1" applyAlignment="1">
      <alignment horizontal="center" vertical="center" wrapText="1"/>
    </xf>
    <xf numFmtId="0" fontId="90" fillId="0" borderId="26" xfId="0" applyFont="1" applyFill="1" applyBorder="1" applyAlignment="1">
      <alignment horizontal="center" vertical="center" wrapText="1"/>
    </xf>
    <xf numFmtId="0" fontId="89" fillId="2" borderId="24" xfId="0" applyFont="1" applyFill="1" applyBorder="1" applyAlignment="1">
      <alignment horizontal="center" vertical="center" wrapText="1"/>
    </xf>
    <xf numFmtId="0" fontId="117" fillId="2" borderId="61" xfId="0" applyFont="1" applyFill="1" applyBorder="1" applyAlignment="1">
      <alignment horizontal="center" vertical="center" wrapText="1"/>
    </xf>
    <xf numFmtId="0" fontId="117" fillId="2" borderId="62" xfId="0" applyFont="1" applyFill="1" applyBorder="1" applyAlignment="1">
      <alignment horizontal="center" vertical="center" wrapText="1"/>
    </xf>
    <xf numFmtId="0" fontId="117" fillId="2" borderId="107" xfId="0" applyFont="1" applyFill="1" applyBorder="1" applyAlignment="1">
      <alignment horizontal="center" vertical="center" wrapText="1"/>
    </xf>
    <xf numFmtId="0" fontId="117" fillId="2" borderId="63" xfId="0" applyFont="1" applyFill="1" applyBorder="1" applyAlignment="1">
      <alignment horizontal="center" vertical="center" wrapText="1"/>
    </xf>
    <xf numFmtId="0" fontId="117" fillId="2" borderId="64" xfId="0" applyFont="1" applyFill="1" applyBorder="1" applyAlignment="1">
      <alignment horizontal="center" vertical="center" wrapText="1"/>
    </xf>
    <xf numFmtId="0" fontId="116" fillId="50" borderId="0" xfId="0" applyFont="1" applyFill="1" applyAlignment="1">
      <alignment horizontal="center" vertical="center" wrapText="1"/>
    </xf>
    <xf numFmtId="0" fontId="30" fillId="6" borderId="56" xfId="0" applyFont="1" applyFill="1" applyBorder="1" applyAlignment="1">
      <alignment horizontal="center" vertical="center" wrapText="1"/>
    </xf>
    <xf numFmtId="0" fontId="30" fillId="5" borderId="111" xfId="0" applyFont="1" applyFill="1" applyBorder="1" applyAlignment="1">
      <alignment horizontal="left" vertical="center"/>
    </xf>
    <xf numFmtId="0" fontId="30" fillId="5" borderId="108" xfId="0" applyFont="1" applyFill="1" applyBorder="1" applyAlignment="1">
      <alignment horizontal="left" vertical="center" wrapText="1"/>
    </xf>
    <xf numFmtId="0" fontId="30" fillId="5" borderId="109" xfId="0" applyFont="1" applyFill="1" applyBorder="1" applyAlignment="1">
      <alignment horizontal="left" vertical="center" wrapText="1"/>
    </xf>
    <xf numFmtId="4" fontId="48" fillId="0" borderId="64" xfId="4" applyNumberFormat="1" applyFont="1" applyFill="1" applyBorder="1" applyAlignment="1" applyProtection="1">
      <alignment horizontal="center" vertical="center"/>
      <protection locked="0"/>
    </xf>
    <xf numFmtId="4" fontId="50" fillId="0" borderId="64" xfId="4" applyNumberFormat="1" applyFont="1" applyFill="1" applyBorder="1" applyAlignment="1" applyProtection="1">
      <alignment horizontal="center" vertical="center"/>
      <protection locked="0"/>
    </xf>
    <xf numFmtId="0" fontId="84" fillId="0" borderId="25" xfId="0" applyFont="1" applyFill="1" applyBorder="1" applyAlignment="1">
      <alignment horizontal="left" vertical="center"/>
    </xf>
    <xf numFmtId="0" fontId="84" fillId="0" borderId="35" xfId="0" applyFont="1" applyFill="1" applyBorder="1" applyAlignment="1">
      <alignment horizontal="left" vertical="center"/>
    </xf>
    <xf numFmtId="0" fontId="84" fillId="0" borderId="26" xfId="0" applyFont="1" applyFill="1" applyBorder="1" applyAlignment="1">
      <alignment horizontal="left" vertical="center"/>
    </xf>
    <xf numFmtId="0" fontId="84" fillId="0" borderId="25" xfId="0" applyFont="1" applyFill="1" applyBorder="1" applyAlignment="1">
      <alignment horizontal="left" vertical="top"/>
    </xf>
    <xf numFmtId="0" fontId="84" fillId="0" borderId="35" xfId="0" applyFont="1" applyFill="1" applyBorder="1" applyAlignment="1">
      <alignment horizontal="left" vertical="top"/>
    </xf>
    <xf numFmtId="0" fontId="84" fillId="0" borderId="26" xfId="0" applyFont="1" applyFill="1" applyBorder="1" applyAlignment="1">
      <alignment horizontal="left" vertical="top"/>
    </xf>
    <xf numFmtId="0" fontId="84" fillId="0" borderId="25" xfId="0" applyFont="1" applyFill="1" applyBorder="1" applyAlignment="1">
      <alignment horizontal="left" vertical="top" wrapText="1"/>
    </xf>
    <xf numFmtId="0" fontId="84" fillId="0" borderId="35" xfId="0" applyFont="1" applyFill="1" applyBorder="1" applyAlignment="1">
      <alignment horizontal="left" vertical="top" wrapText="1"/>
    </xf>
    <xf numFmtId="0" fontId="84" fillId="0" borderId="26" xfId="0" applyFont="1" applyFill="1" applyBorder="1" applyAlignment="1">
      <alignment horizontal="left" vertical="top" wrapText="1"/>
    </xf>
    <xf numFmtId="0" fontId="90" fillId="0" borderId="25" xfId="0" applyFont="1" applyFill="1" applyBorder="1" applyAlignment="1">
      <alignment horizontal="left" vertical="center" wrapText="1"/>
    </xf>
    <xf numFmtId="0" fontId="90" fillId="0" borderId="35" xfId="0" applyFont="1" applyFill="1" applyBorder="1" applyAlignment="1">
      <alignment horizontal="left" vertical="center" wrapText="1"/>
    </xf>
    <xf numFmtId="0" fontId="90" fillId="0" borderId="26" xfId="0" applyFont="1" applyFill="1" applyBorder="1" applyAlignment="1">
      <alignment horizontal="left" vertical="center" wrapText="1"/>
    </xf>
    <xf numFmtId="0" fontId="84" fillId="0" borderId="33" xfId="0" applyFont="1" applyBorder="1" applyAlignment="1">
      <alignment horizontal="left" vertical="top" wrapText="1"/>
    </xf>
    <xf numFmtId="0" fontId="84" fillId="0" borderId="34" xfId="0" applyFont="1" applyBorder="1" applyAlignment="1">
      <alignment horizontal="left" vertical="top" wrapText="1"/>
    </xf>
    <xf numFmtId="0" fontId="84" fillId="0" borderId="29" xfId="0" applyFont="1" applyBorder="1" applyAlignment="1">
      <alignment horizontal="left" vertical="top" wrapText="1"/>
    </xf>
    <xf numFmtId="0" fontId="89" fillId="2" borderId="25" xfId="0" applyFont="1" applyFill="1" applyBorder="1" applyAlignment="1">
      <alignment horizontal="center" vertical="center" wrapText="1"/>
    </xf>
    <xf numFmtId="0" fontId="89" fillId="2" borderId="35" xfId="0" applyFont="1" applyFill="1" applyBorder="1" applyAlignment="1">
      <alignment horizontal="center" vertical="center" wrapText="1"/>
    </xf>
    <xf numFmtId="0" fontId="89" fillId="2" borderId="26" xfId="0" applyFont="1" applyFill="1" applyBorder="1" applyAlignment="1">
      <alignment horizontal="center" vertical="center" wrapText="1"/>
    </xf>
    <xf numFmtId="0" fontId="91" fillId="0" borderId="35" xfId="0" applyFont="1" applyFill="1" applyBorder="1" applyAlignment="1">
      <alignment horizontal="center"/>
    </xf>
    <xf numFmtId="0" fontId="81" fillId="0" borderId="24" xfId="0" applyFont="1" applyFill="1" applyBorder="1" applyAlignment="1">
      <alignment horizontal="center" vertical="center"/>
    </xf>
    <xf numFmtId="0" fontId="84" fillId="0" borderId="111" xfId="0" applyFont="1" applyFill="1" applyBorder="1" applyAlignment="1">
      <alignment horizontal="left" vertical="top"/>
    </xf>
    <xf numFmtId="0" fontId="89" fillId="2" borderId="111" xfId="0" applyFont="1" applyFill="1" applyBorder="1" applyAlignment="1">
      <alignment horizontal="center" vertical="center" wrapText="1"/>
    </xf>
    <xf numFmtId="0" fontId="83" fillId="0" borderId="25" xfId="0" applyFont="1" applyFill="1" applyBorder="1" applyAlignment="1">
      <alignment horizontal="center" vertical="top"/>
    </xf>
    <xf numFmtId="0" fontId="83" fillId="0" borderId="35" xfId="0" applyFont="1" applyFill="1" applyBorder="1" applyAlignment="1">
      <alignment horizontal="center" vertical="top"/>
    </xf>
    <xf numFmtId="0" fontId="83" fillId="0" borderId="26" xfId="0" applyFont="1" applyFill="1" applyBorder="1" applyAlignment="1">
      <alignment horizontal="center" vertical="top"/>
    </xf>
    <xf numFmtId="0" fontId="89" fillId="2" borderId="25" xfId="0" applyFont="1" applyFill="1" applyBorder="1" applyAlignment="1">
      <alignment horizontal="left" vertical="center" wrapText="1"/>
    </xf>
    <xf numFmtId="0" fontId="89" fillId="2" borderId="35" xfId="0" applyFont="1" applyFill="1" applyBorder="1" applyAlignment="1">
      <alignment horizontal="left" vertical="center" wrapText="1"/>
    </xf>
    <xf numFmtId="0" fontId="89" fillId="2" borderId="26" xfId="0" applyFont="1" applyFill="1" applyBorder="1" applyAlignment="1">
      <alignment horizontal="left" vertical="center" wrapText="1"/>
    </xf>
    <xf numFmtId="0" fontId="84" fillId="0" borderId="135" xfId="0" applyFont="1" applyFill="1" applyBorder="1" applyAlignment="1">
      <alignment horizontal="left" vertical="top"/>
    </xf>
    <xf numFmtId="0" fontId="84" fillId="0" borderId="111" xfId="0" applyFont="1" applyBorder="1" applyAlignment="1">
      <alignment horizontal="left" vertical="top"/>
    </xf>
    <xf numFmtId="0" fontId="84" fillId="0" borderId="35" xfId="0" applyFont="1" applyBorder="1" applyAlignment="1">
      <alignment horizontal="left" vertical="top"/>
    </xf>
    <xf numFmtId="0" fontId="84" fillId="0" borderId="26" xfId="0" applyFont="1" applyBorder="1" applyAlignment="1">
      <alignment horizontal="left" vertical="top"/>
    </xf>
    <xf numFmtId="0" fontId="84" fillId="0" borderId="135" xfId="0" applyFont="1" applyBorder="1" applyAlignment="1">
      <alignment horizontal="left" vertical="top"/>
    </xf>
    <xf numFmtId="0" fontId="84" fillId="2" borderId="25" xfId="0" applyFont="1" applyFill="1" applyBorder="1" applyAlignment="1">
      <alignment horizontal="left" vertical="top" wrapText="1"/>
    </xf>
    <xf numFmtId="0" fontId="84" fillId="2" borderId="35" xfId="0" applyFont="1" applyFill="1" applyBorder="1" applyAlignment="1">
      <alignment horizontal="left" vertical="top" wrapText="1"/>
    </xf>
    <xf numFmtId="0" fontId="84" fillId="2" borderId="26" xfId="0" applyFont="1" applyFill="1" applyBorder="1" applyAlignment="1">
      <alignment horizontal="left" vertical="top" wrapText="1"/>
    </xf>
    <xf numFmtId="0" fontId="84" fillId="0" borderId="24" xfId="0" applyFont="1" applyBorder="1" applyAlignment="1">
      <alignment horizontal="left" vertical="top"/>
    </xf>
    <xf numFmtId="0" fontId="84" fillId="0" borderId="111" xfId="0" applyFont="1" applyBorder="1" applyAlignment="1">
      <alignment horizontal="center" vertical="center"/>
    </xf>
    <xf numFmtId="0" fontId="84" fillId="0" borderId="35" xfId="0" applyFont="1" applyBorder="1" applyAlignment="1">
      <alignment horizontal="center" vertical="center"/>
    </xf>
    <xf numFmtId="0" fontId="84" fillId="0" borderId="26" xfId="0" applyFont="1" applyBorder="1" applyAlignment="1">
      <alignment horizontal="center" vertical="center"/>
    </xf>
    <xf numFmtId="0" fontId="84" fillId="0" borderId="25" xfId="0" applyFont="1" applyBorder="1" applyAlignment="1">
      <alignment horizontal="center" vertical="top"/>
    </xf>
    <xf numFmtId="0" fontId="84" fillId="0" borderId="35" xfId="0" applyFont="1" applyBorder="1" applyAlignment="1">
      <alignment horizontal="center" vertical="top"/>
    </xf>
    <xf numFmtId="0" fontId="84" fillId="0" borderId="26" xfId="0" applyFont="1" applyBorder="1" applyAlignment="1">
      <alignment horizontal="center" vertical="top"/>
    </xf>
    <xf numFmtId="0" fontId="84" fillId="0" borderId="135" xfId="0" applyFont="1" applyBorder="1" applyAlignment="1">
      <alignment horizontal="center" vertical="top"/>
    </xf>
    <xf numFmtId="0" fontId="90" fillId="0" borderId="25" xfId="0" applyFont="1" applyFill="1" applyBorder="1" applyAlignment="1">
      <alignment horizontal="justify" vertical="center" wrapText="1"/>
    </xf>
    <xf numFmtId="0" fontId="90" fillId="0" borderId="35" xfId="0" applyFont="1" applyFill="1" applyBorder="1" applyAlignment="1">
      <alignment horizontal="justify" vertical="center" wrapText="1"/>
    </xf>
    <xf numFmtId="0" fontId="90" fillId="0" borderId="26" xfId="0" applyFont="1" applyFill="1" applyBorder="1" applyAlignment="1">
      <alignment horizontal="justify" vertical="center" wrapText="1"/>
    </xf>
    <xf numFmtId="0" fontId="83" fillId="0" borderId="25" xfId="0" applyFont="1" applyFill="1" applyBorder="1" applyAlignment="1">
      <alignment horizontal="left" vertical="top" wrapText="1"/>
    </xf>
    <xf numFmtId="0" fontId="83" fillId="0" borderId="35" xfId="0" applyFont="1" applyFill="1" applyBorder="1" applyAlignment="1">
      <alignment horizontal="left" vertical="top" wrapText="1"/>
    </xf>
    <xf numFmtId="0" fontId="83" fillId="0" borderId="26" xfId="0" applyFont="1" applyFill="1" applyBorder="1" applyAlignment="1">
      <alignment horizontal="left" vertical="top" wrapText="1"/>
    </xf>
    <xf numFmtId="0" fontId="84" fillId="0" borderId="25" xfId="0" applyFont="1" applyBorder="1" applyAlignment="1">
      <alignment horizontal="left" vertical="center" wrapText="1"/>
    </xf>
    <xf numFmtId="0" fontId="84" fillId="0" borderId="35" xfId="0" applyFont="1" applyBorder="1" applyAlignment="1">
      <alignment horizontal="left" vertical="center" wrapText="1"/>
    </xf>
    <xf numFmtId="0" fontId="84" fillId="0" borderId="26" xfId="0" applyFont="1" applyBorder="1" applyAlignment="1">
      <alignment horizontal="left" vertical="center" wrapText="1"/>
    </xf>
    <xf numFmtId="0" fontId="79" fillId="0" borderId="94" xfId="0" applyFont="1" applyBorder="1" applyAlignment="1">
      <alignment horizontal="center" vertical="center" wrapText="1"/>
    </xf>
    <xf numFmtId="0" fontId="79" fillId="0" borderId="64" xfId="0" applyFont="1" applyBorder="1" applyAlignment="1">
      <alignment horizontal="center" vertical="center" wrapText="1"/>
    </xf>
    <xf numFmtId="0" fontId="79" fillId="0" borderId="95" xfId="0" applyFont="1" applyBorder="1" applyAlignment="1">
      <alignment horizontal="center" vertical="center" wrapText="1"/>
    </xf>
    <xf numFmtId="0" fontId="81" fillId="26" borderId="57" xfId="0" applyFont="1" applyFill="1" applyBorder="1" applyAlignment="1">
      <alignment horizontal="left" vertical="center"/>
    </xf>
    <xf numFmtId="0" fontId="81" fillId="26" borderId="58" xfId="0" applyFont="1" applyFill="1" applyBorder="1" applyAlignment="1">
      <alignment horizontal="left" vertical="center"/>
    </xf>
    <xf numFmtId="0" fontId="81" fillId="26" borderId="113" xfId="0" applyFont="1" applyFill="1" applyBorder="1" applyAlignment="1">
      <alignment horizontal="left" vertical="center"/>
    </xf>
    <xf numFmtId="0" fontId="81" fillId="26" borderId="114" xfId="0" applyFont="1" applyFill="1" applyBorder="1" applyAlignment="1">
      <alignment horizontal="left" vertical="center"/>
    </xf>
    <xf numFmtId="0" fontId="81" fillId="26" borderId="124" xfId="0" applyFont="1" applyFill="1" applyBorder="1" applyAlignment="1">
      <alignment horizontal="left" vertical="center"/>
    </xf>
    <xf numFmtId="0" fontId="81" fillId="5" borderId="61" xfId="0" applyFont="1" applyFill="1" applyBorder="1" applyAlignment="1">
      <alignment horizontal="center" vertical="center"/>
    </xf>
    <xf numFmtId="0" fontId="81" fillId="5" borderId="63" xfId="0" applyFont="1" applyFill="1" applyBorder="1" applyAlignment="1">
      <alignment horizontal="center" vertical="center"/>
    </xf>
    <xf numFmtId="0" fontId="81" fillId="5" borderId="66" xfId="0" applyFont="1" applyFill="1" applyBorder="1" applyAlignment="1">
      <alignment horizontal="center" vertical="center"/>
    </xf>
    <xf numFmtId="0" fontId="30" fillId="25" borderId="61" xfId="0" applyFont="1" applyFill="1" applyBorder="1" applyAlignment="1">
      <alignment horizontal="center" vertical="center" wrapText="1"/>
    </xf>
    <xf numFmtId="0" fontId="30" fillId="25" borderId="62" xfId="0" applyFont="1" applyFill="1" applyBorder="1" applyAlignment="1">
      <alignment horizontal="center" vertical="center" wrapText="1"/>
    </xf>
    <xf numFmtId="0" fontId="30" fillId="25" borderId="107" xfId="0" applyFont="1" applyFill="1" applyBorder="1" applyAlignment="1">
      <alignment horizontal="center" vertical="center" wrapText="1"/>
    </xf>
    <xf numFmtId="0" fontId="30" fillId="25" borderId="63" xfId="0" applyFont="1" applyFill="1" applyBorder="1" applyAlignment="1">
      <alignment horizontal="center" vertical="center" wrapText="1"/>
    </xf>
    <xf numFmtId="0" fontId="30" fillId="25" borderId="0" xfId="0" applyFont="1" applyFill="1" applyBorder="1" applyAlignment="1">
      <alignment horizontal="center" vertical="center" wrapText="1"/>
    </xf>
    <xf numFmtId="0" fontId="30" fillId="25" borderId="64" xfId="0" applyFont="1" applyFill="1" applyBorder="1" applyAlignment="1">
      <alignment horizontal="center" vertical="center" wrapText="1"/>
    </xf>
    <xf numFmtId="0" fontId="30" fillId="25" borderId="66" xfId="0" applyFont="1" applyFill="1" applyBorder="1" applyAlignment="1">
      <alignment horizontal="center" vertical="center" wrapText="1"/>
    </xf>
    <xf numFmtId="0" fontId="30" fillId="25" borderId="67" xfId="0" applyFont="1" applyFill="1" applyBorder="1" applyAlignment="1">
      <alignment horizontal="center" vertical="center" wrapText="1"/>
    </xf>
    <xf numFmtId="0" fontId="30" fillId="25" borderId="68" xfId="0" applyFont="1" applyFill="1" applyBorder="1" applyAlignment="1">
      <alignment horizontal="center" vertical="center" wrapText="1"/>
    </xf>
    <xf numFmtId="0" fontId="30" fillId="6" borderId="63" xfId="0" applyFont="1" applyFill="1" applyBorder="1" applyAlignment="1">
      <alignment horizontal="center" vertical="center" wrapText="1"/>
    </xf>
    <xf numFmtId="0" fontId="30" fillId="6" borderId="0" xfId="0" applyFont="1" applyFill="1" applyBorder="1" applyAlignment="1">
      <alignment horizontal="center" vertical="center" wrapText="1"/>
    </xf>
    <xf numFmtId="0" fontId="30" fillId="6" borderId="64" xfId="0" applyFont="1" applyFill="1" applyBorder="1" applyAlignment="1">
      <alignment horizontal="center" vertical="center" wrapText="1"/>
    </xf>
    <xf numFmtId="0" fontId="30" fillId="6" borderId="66" xfId="0" applyFont="1" applyFill="1" applyBorder="1" applyAlignment="1">
      <alignment horizontal="center" vertical="center" wrapText="1"/>
    </xf>
    <xf numFmtId="0" fontId="30" fillId="6" borderId="67" xfId="0" applyFont="1" applyFill="1" applyBorder="1" applyAlignment="1">
      <alignment horizontal="center" vertical="center" wrapText="1"/>
    </xf>
    <xf numFmtId="0" fontId="30" fillId="6" borderId="68" xfId="0" applyFont="1" applyFill="1" applyBorder="1" applyAlignment="1">
      <alignment horizontal="center" vertical="center" wrapText="1"/>
    </xf>
    <xf numFmtId="0" fontId="30" fillId="23" borderId="66" xfId="0" applyFont="1" applyFill="1" applyBorder="1" applyAlignment="1">
      <alignment horizontal="center" vertical="center"/>
    </xf>
    <xf numFmtId="0" fontId="30" fillId="23" borderId="67" xfId="0" applyFont="1" applyFill="1" applyBorder="1" applyAlignment="1">
      <alignment horizontal="center" vertical="center"/>
    </xf>
    <xf numFmtId="0" fontId="78" fillId="2" borderId="63" xfId="0" applyFont="1" applyFill="1" applyBorder="1" applyAlignment="1">
      <alignment horizontal="center" vertical="center" wrapText="1"/>
    </xf>
    <xf numFmtId="0" fontId="78" fillId="2" borderId="64" xfId="0" applyFont="1" applyFill="1" applyBorder="1" applyAlignment="1">
      <alignment horizontal="center" vertical="center" wrapText="1"/>
    </xf>
    <xf numFmtId="0" fontId="78" fillId="2" borderId="66" xfId="0" applyFont="1" applyFill="1" applyBorder="1" applyAlignment="1">
      <alignment horizontal="center" vertical="center" wrapText="1"/>
    </xf>
    <xf numFmtId="0" fontId="78" fillId="2" borderId="67" xfId="0" applyFont="1" applyFill="1" applyBorder="1" applyAlignment="1">
      <alignment horizontal="center" vertical="center" wrapText="1"/>
    </xf>
    <xf numFmtId="0" fontId="78" fillId="2" borderId="68" xfId="0" applyFont="1" applyFill="1" applyBorder="1" applyAlignment="1">
      <alignment horizontal="center" vertical="center" wrapText="1"/>
    </xf>
    <xf numFmtId="181" fontId="30" fillId="6" borderId="56" xfId="0" applyNumberFormat="1" applyFont="1" applyFill="1" applyBorder="1" applyAlignment="1">
      <alignment horizontal="center" vertical="center" wrapText="1"/>
    </xf>
    <xf numFmtId="0" fontId="30" fillId="6" borderId="108" xfId="0" applyFont="1" applyFill="1" applyBorder="1" applyAlignment="1">
      <alignment horizontal="left" vertical="center"/>
    </xf>
    <xf numFmtId="0" fontId="77" fillId="23" borderId="61" xfId="0" applyFont="1" applyFill="1" applyBorder="1" applyAlignment="1">
      <alignment horizontal="center"/>
    </xf>
    <xf numFmtId="0" fontId="77" fillId="23" borderId="62" xfId="0" applyFont="1" applyFill="1" applyBorder="1" applyAlignment="1">
      <alignment horizontal="center"/>
    </xf>
    <xf numFmtId="0" fontId="77" fillId="23" borderId="107" xfId="0" applyFont="1" applyFill="1" applyBorder="1" applyAlignment="1">
      <alignment horizontal="center"/>
    </xf>
    <xf numFmtId="0" fontId="30" fillId="6" borderId="113" xfId="0" applyFont="1" applyFill="1" applyBorder="1" applyAlignment="1">
      <alignment horizontal="justify" vertical="center"/>
    </xf>
    <xf numFmtId="0" fontId="18" fillId="0" borderId="0" xfId="0" applyFont="1" applyFill="1" applyBorder="1" applyAlignment="1">
      <alignment horizontal="center" vertical="center"/>
    </xf>
    <xf numFmtId="0" fontId="18" fillId="0" borderId="0" xfId="0" applyFont="1" applyFill="1" applyBorder="1" applyAlignment="1">
      <alignment horizontal="left" vertical="center"/>
    </xf>
    <xf numFmtId="3" fontId="70" fillId="0" borderId="32" xfId="0" applyNumberFormat="1" applyFont="1" applyBorder="1" applyAlignment="1">
      <alignment horizontal="center" vertical="center" wrapText="1"/>
    </xf>
    <xf numFmtId="4" fontId="122" fillId="0" borderId="24" xfId="0" applyNumberFormat="1" applyFont="1" applyBorder="1" applyAlignment="1" applyProtection="1">
      <alignment horizontal="right" vertical="center" wrapText="1"/>
      <protection locked="0"/>
    </xf>
    <xf numFmtId="0" fontId="49" fillId="0" borderId="0" xfId="0" applyFont="1" applyAlignment="1">
      <alignment vertical="center" wrapText="1"/>
    </xf>
    <xf numFmtId="0" fontId="120" fillId="0" borderId="24" xfId="0" applyFont="1" applyBorder="1" applyAlignment="1" applyProtection="1">
      <alignment horizontal="right" vertical="center" wrapText="1"/>
      <protection locked="0"/>
    </xf>
    <xf numFmtId="173" fontId="120" fillId="0" borderId="24" xfId="0" applyNumberFormat="1" applyFont="1" applyBorder="1" applyAlignment="1" applyProtection="1">
      <alignment horizontal="right" vertical="center" wrapText="1"/>
      <protection locked="0"/>
    </xf>
    <xf numFmtId="190" fontId="120" fillId="0" borderId="24" xfId="0" applyNumberFormat="1" applyFont="1" applyBorder="1" applyAlignment="1" applyProtection="1">
      <alignment horizontal="right" vertical="center" wrapText="1"/>
      <protection locked="0"/>
    </xf>
    <xf numFmtId="0" fontId="120" fillId="0" borderId="24" xfId="0" applyFont="1" applyBorder="1" applyAlignment="1" applyProtection="1">
      <alignment vertical="center" wrapText="1"/>
      <protection locked="0"/>
    </xf>
    <xf numFmtId="0" fontId="0" fillId="0" borderId="24" xfId="0" applyBorder="1" applyAlignment="1">
      <alignment vertical="center" wrapText="1"/>
    </xf>
    <xf numFmtId="4" fontId="120" fillId="0" borderId="24" xfId="0" applyNumberFormat="1" applyFont="1" applyBorder="1" applyAlignment="1" applyProtection="1">
      <alignment horizontal="right" vertical="center" wrapText="1"/>
      <protection locked="0"/>
    </xf>
    <xf numFmtId="0" fontId="70" fillId="0" borderId="0" xfId="0" applyFont="1" applyBorder="1" applyAlignment="1">
      <alignment horizontal="center" vertical="center" wrapText="1"/>
    </xf>
    <xf numFmtId="0" fontId="29" fillId="0" borderId="0" xfId="0" applyFont="1" applyBorder="1" applyAlignment="1">
      <alignment horizontal="center" vertical="center"/>
    </xf>
    <xf numFmtId="0" fontId="47" fillId="0" borderId="0" xfId="0" applyFont="1" applyAlignment="1">
      <alignment horizontal="center" vertical="center" wrapText="1"/>
    </xf>
    <xf numFmtId="0" fontId="17" fillId="0" borderId="0" xfId="0" applyFont="1" applyBorder="1" applyAlignment="1">
      <alignment horizontal="center" vertical="top"/>
    </xf>
    <xf numFmtId="3" fontId="47" fillId="0" borderId="0" xfId="0" applyNumberFormat="1" applyFont="1" applyAlignment="1">
      <alignment horizontal="center" vertical="center" wrapText="1"/>
    </xf>
    <xf numFmtId="0" fontId="120" fillId="0" borderId="25" xfId="0" applyFont="1" applyBorder="1" applyAlignment="1" applyProtection="1">
      <alignment horizontal="right" vertical="center" wrapText="1"/>
      <protection locked="0"/>
    </xf>
    <xf numFmtId="0" fontId="0" fillId="0" borderId="35" xfId="0" applyBorder="1" applyAlignment="1">
      <alignment horizontal="right" vertical="center" wrapText="1"/>
    </xf>
    <xf numFmtId="0" fontId="0" fillId="0" borderId="26" xfId="0" applyBorder="1" applyAlignment="1">
      <alignment horizontal="right" vertical="center" wrapText="1"/>
    </xf>
    <xf numFmtId="173" fontId="120" fillId="0" borderId="24" xfId="0" applyNumberFormat="1" applyFont="1" applyBorder="1" applyAlignment="1" applyProtection="1">
      <alignment horizontal="center" vertical="center" wrapText="1"/>
      <protection locked="0"/>
    </xf>
    <xf numFmtId="0" fontId="70" fillId="6" borderId="24" xfId="0" applyFont="1" applyFill="1" applyBorder="1" applyAlignment="1" applyProtection="1">
      <alignment horizontal="center" vertical="center" wrapText="1"/>
      <protection locked="0"/>
    </xf>
    <xf numFmtId="0" fontId="46" fillId="0" borderId="24" xfId="0" applyFont="1" applyBorder="1" applyAlignment="1" applyProtection="1">
      <alignment horizontal="right" vertical="center" wrapText="1"/>
      <protection locked="0"/>
    </xf>
    <xf numFmtId="0" fontId="0" fillId="0" borderId="24" xfId="0" applyBorder="1" applyAlignment="1">
      <alignment horizontal="right" vertical="center" wrapText="1"/>
    </xf>
    <xf numFmtId="173" fontId="122" fillId="0" borderId="151" xfId="0" applyNumberFormat="1" applyFont="1" applyBorder="1" applyAlignment="1" applyProtection="1">
      <alignment horizontal="right" vertical="center" wrapText="1"/>
      <protection locked="0"/>
    </xf>
    <xf numFmtId="173" fontId="122" fillId="0" borderId="127" xfId="0" applyNumberFormat="1" applyFont="1" applyBorder="1" applyAlignment="1" applyProtection="1">
      <alignment horizontal="right" vertical="center" wrapText="1"/>
      <protection locked="0"/>
    </xf>
    <xf numFmtId="173" fontId="120" fillId="0" borderId="65" xfId="0" applyNumberFormat="1" applyFont="1" applyBorder="1" applyAlignment="1" applyProtection="1">
      <alignment horizontal="right" vertical="center" wrapText="1"/>
      <protection locked="0"/>
    </xf>
    <xf numFmtId="0" fontId="46" fillId="0" borderId="24" xfId="0" applyFont="1" applyBorder="1" applyAlignment="1" applyProtection="1">
      <alignment vertical="center" wrapText="1"/>
      <protection locked="0"/>
    </xf>
    <xf numFmtId="0" fontId="120" fillId="0" borderId="35" xfId="0" applyFont="1" applyBorder="1" applyAlignment="1" applyProtection="1">
      <alignment horizontal="right" vertical="center" wrapText="1"/>
      <protection locked="0"/>
    </xf>
    <xf numFmtId="0" fontId="120" fillId="0" borderId="26" xfId="0" applyFont="1" applyBorder="1" applyAlignment="1" applyProtection="1">
      <alignment horizontal="right" vertical="center" wrapText="1"/>
      <protection locked="0"/>
    </xf>
    <xf numFmtId="173" fontId="120" fillId="0" borderId="25" xfId="0" applyNumberFormat="1" applyFont="1" applyBorder="1" applyAlignment="1" applyProtection="1">
      <alignment horizontal="right" vertical="center" wrapText="1"/>
      <protection locked="0"/>
    </xf>
    <xf numFmtId="173" fontId="120" fillId="0" borderId="35" xfId="0" applyNumberFormat="1" applyFont="1" applyBorder="1" applyAlignment="1" applyProtection="1">
      <alignment horizontal="right" vertical="center" wrapText="1"/>
      <protection locked="0"/>
    </xf>
    <xf numFmtId="173" fontId="120" fillId="0" borderId="119" xfId="0" applyNumberFormat="1" applyFont="1" applyBorder="1" applyAlignment="1" applyProtection="1">
      <alignment horizontal="right" vertical="center" wrapText="1"/>
      <protection locked="0"/>
    </xf>
    <xf numFmtId="0" fontId="31" fillId="0" borderId="24" xfId="0" applyFont="1" applyBorder="1" applyAlignment="1">
      <alignment vertical="center" wrapText="1"/>
    </xf>
    <xf numFmtId="0" fontId="120" fillId="0" borderId="25" xfId="0" applyFont="1" applyBorder="1" applyAlignment="1" applyProtection="1">
      <alignment vertical="center" wrapText="1"/>
      <protection locked="0"/>
    </xf>
    <xf numFmtId="0" fontId="120" fillId="0" borderId="35" xfId="0" applyFont="1" applyBorder="1" applyAlignment="1" applyProtection="1">
      <alignment vertical="center" wrapText="1"/>
      <protection locked="0"/>
    </xf>
    <xf numFmtId="0" fontId="120" fillId="0" borderId="26" xfId="0" applyFont="1" applyBorder="1" applyAlignment="1" applyProtection="1">
      <alignment vertical="center" wrapText="1"/>
      <protection locked="0"/>
    </xf>
    <xf numFmtId="173" fontId="120" fillId="0" borderId="26" xfId="0" applyNumberFormat="1" applyFont="1" applyBorder="1" applyAlignment="1" applyProtection="1">
      <alignment horizontal="right" vertical="center" wrapText="1"/>
      <protection locked="0"/>
    </xf>
    <xf numFmtId="173" fontId="120" fillId="0" borderId="25" xfId="0" applyNumberFormat="1" applyFont="1" applyBorder="1" applyAlignment="1" applyProtection="1">
      <alignment horizontal="center" vertical="center" wrapText="1"/>
      <protection locked="0"/>
    </xf>
    <xf numFmtId="173" fontId="120" fillId="0" borderId="35" xfId="0" applyNumberFormat="1" applyFont="1" applyBorder="1" applyAlignment="1" applyProtection="1">
      <alignment horizontal="center" vertical="center" wrapText="1"/>
      <protection locked="0"/>
    </xf>
    <xf numFmtId="173" fontId="120" fillId="0" borderId="119" xfId="0" applyNumberFormat="1" applyFont="1" applyBorder="1" applyAlignment="1" applyProtection="1">
      <alignment horizontal="center" vertical="center" wrapText="1"/>
      <protection locked="0"/>
    </xf>
    <xf numFmtId="0" fontId="70" fillId="6" borderId="25" xfId="0" applyFont="1" applyFill="1" applyBorder="1" applyAlignment="1" applyProtection="1">
      <alignment horizontal="center" vertical="center" wrapText="1"/>
      <protection locked="0"/>
    </xf>
    <xf numFmtId="0" fontId="70" fillId="6" borderId="35" xfId="0" applyFont="1" applyFill="1" applyBorder="1" applyAlignment="1" applyProtection="1">
      <alignment horizontal="center" vertical="center" wrapText="1"/>
      <protection locked="0"/>
    </xf>
    <xf numFmtId="0" fontId="70" fillId="6" borderId="26" xfId="0" applyFont="1" applyFill="1" applyBorder="1" applyAlignment="1" applyProtection="1">
      <alignment horizontal="center" vertical="center" wrapText="1"/>
      <protection locked="0"/>
    </xf>
    <xf numFmtId="0" fontId="70" fillId="6" borderId="0" xfId="0" applyFont="1" applyFill="1" applyBorder="1" applyAlignment="1">
      <alignment horizontal="center" vertical="center" wrapText="1"/>
    </xf>
    <xf numFmtId="0" fontId="70" fillId="6" borderId="64" xfId="0" applyFont="1" applyFill="1" applyBorder="1" applyAlignment="1">
      <alignment horizontal="center" vertical="center" wrapText="1"/>
    </xf>
    <xf numFmtId="0" fontId="120" fillId="0" borderId="31" xfId="0" applyFont="1" applyBorder="1" applyAlignment="1">
      <alignment horizontal="center" vertical="center" wrapText="1"/>
    </xf>
    <xf numFmtId="0" fontId="120" fillId="0" borderId="27" xfId="0" applyFont="1" applyBorder="1" applyAlignment="1">
      <alignment horizontal="center" vertical="center" wrapText="1"/>
    </xf>
    <xf numFmtId="0" fontId="120" fillId="0" borderId="30" xfId="0" applyFont="1" applyBorder="1" applyAlignment="1">
      <alignment horizontal="center" vertical="center" wrapText="1"/>
    </xf>
    <xf numFmtId="0" fontId="120" fillId="0" borderId="28" xfId="0" applyFont="1" applyBorder="1" applyAlignment="1">
      <alignment horizontal="center" vertical="center" wrapText="1"/>
    </xf>
    <xf numFmtId="0" fontId="120" fillId="0" borderId="33" xfId="0" applyFont="1" applyBorder="1" applyAlignment="1">
      <alignment horizontal="center" vertical="center" wrapText="1"/>
    </xf>
    <xf numFmtId="0" fontId="120" fillId="0" borderId="29" xfId="0" applyFont="1" applyBorder="1" applyAlignment="1">
      <alignment horizontal="center" vertical="center" wrapText="1"/>
    </xf>
    <xf numFmtId="0" fontId="70" fillId="2" borderId="24" xfId="0" applyFont="1" applyFill="1" applyBorder="1" applyAlignment="1">
      <alignment horizontal="center" vertical="center" wrapText="1"/>
    </xf>
    <xf numFmtId="0" fontId="46" fillId="2" borderId="24" xfId="0" applyFont="1" applyFill="1" applyBorder="1" applyAlignment="1">
      <alignment vertical="center" wrapText="1"/>
    </xf>
    <xf numFmtId="0" fontId="120" fillId="0" borderId="30" xfId="0" applyFont="1" applyBorder="1" applyAlignment="1">
      <alignment vertical="center" wrapText="1"/>
    </xf>
    <xf numFmtId="0" fontId="120" fillId="0" borderId="0" xfId="0" applyFont="1" applyBorder="1" applyAlignment="1">
      <alignment vertical="center" wrapText="1"/>
    </xf>
    <xf numFmtId="0" fontId="120" fillId="0" borderId="28" xfId="0" applyFont="1" applyBorder="1" applyAlignment="1">
      <alignment vertical="center" wrapText="1"/>
    </xf>
    <xf numFmtId="0" fontId="46" fillId="0" borderId="24" xfId="0" applyFont="1" applyBorder="1" applyAlignment="1">
      <alignment horizontal="left" vertical="center" wrapText="1"/>
    </xf>
    <xf numFmtId="0" fontId="46" fillId="0" borderId="24" xfId="0" applyFont="1" applyBorder="1" applyAlignment="1">
      <alignment vertical="center" wrapText="1"/>
    </xf>
    <xf numFmtId="0" fontId="70" fillId="0" borderId="24" xfId="0" applyFont="1" applyBorder="1" applyAlignment="1">
      <alignment horizontal="left" vertical="center" wrapText="1"/>
    </xf>
    <xf numFmtId="0" fontId="46" fillId="0" borderId="24" xfId="0" applyFont="1" applyBorder="1" applyAlignment="1">
      <alignment horizontal="justify" vertical="center" wrapText="1"/>
    </xf>
    <xf numFmtId="0" fontId="120" fillId="0" borderId="32" xfId="0" applyFont="1" applyBorder="1" applyAlignment="1">
      <alignment horizontal="center" vertical="center" wrapText="1"/>
    </xf>
    <xf numFmtId="0" fontId="120" fillId="0" borderId="34" xfId="0" applyFont="1" applyBorder="1" applyAlignment="1">
      <alignment horizontal="center" vertical="center" wrapText="1"/>
    </xf>
    <xf numFmtId="0" fontId="120" fillId="0" borderId="0" xfId="0" applyFont="1" applyBorder="1" applyAlignment="1">
      <alignment horizontal="center" vertical="center" wrapText="1"/>
    </xf>
    <xf numFmtId="0" fontId="49" fillId="0" borderId="0" xfId="0" applyFont="1" applyBorder="1" applyAlignment="1">
      <alignment horizontal="center" vertical="top" wrapText="1"/>
    </xf>
    <xf numFmtId="0" fontId="31" fillId="0" borderId="24" xfId="0" applyFont="1" applyBorder="1" applyAlignment="1" applyProtection="1">
      <alignment horizontal="left" vertical="center" wrapText="1"/>
      <protection locked="0"/>
    </xf>
    <xf numFmtId="0" fontId="31" fillId="0" borderId="65" xfId="0" applyFont="1" applyBorder="1" applyAlignment="1" applyProtection="1">
      <alignment horizontal="left" vertical="center" wrapText="1"/>
      <protection locked="0"/>
    </xf>
    <xf numFmtId="191" fontId="31" fillId="0" borderId="24" xfId="0" applyNumberFormat="1" applyFont="1" applyBorder="1" applyAlignment="1">
      <alignment horizontal="left" vertical="center" wrapText="1"/>
    </xf>
    <xf numFmtId="191" fontId="31" fillId="0" borderId="65" xfId="0" applyNumberFormat="1" applyFont="1" applyBorder="1" applyAlignment="1">
      <alignment horizontal="left" vertical="center" wrapText="1"/>
    </xf>
    <xf numFmtId="0" fontId="70" fillId="6" borderId="0" xfId="0" applyFont="1" applyFill="1" applyBorder="1" applyAlignment="1" applyProtection="1">
      <alignment horizontal="center" vertical="center" wrapText="1"/>
      <protection locked="0"/>
    </xf>
    <xf numFmtId="0" fontId="70" fillId="6" borderId="64" xfId="0" applyFont="1" applyFill="1" applyBorder="1" applyAlignment="1" applyProtection="1">
      <alignment horizontal="center" vertical="center" wrapText="1"/>
      <protection locked="0"/>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29"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26"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28" xfId="0" applyFont="1" applyBorder="1" applyAlignment="1">
      <alignment horizontal="center" vertical="center" wrapText="1"/>
    </xf>
    <xf numFmtId="0" fontId="120" fillId="0" borderId="93" xfId="0" applyFont="1" applyBorder="1" applyAlignment="1">
      <alignment horizontal="center" vertical="center" wrapText="1"/>
    </xf>
    <xf numFmtId="0" fontId="120" fillId="0" borderId="75" xfId="0" applyFont="1" applyBorder="1" applyAlignment="1">
      <alignment horizontal="center" vertical="center" wrapText="1"/>
    </xf>
    <xf numFmtId="182" fontId="46" fillId="0" borderId="24" xfId="12" applyNumberFormat="1" applyFont="1" applyBorder="1" applyAlignment="1">
      <alignment horizontal="left" vertical="center" wrapText="1"/>
    </xf>
    <xf numFmtId="3" fontId="46" fillId="0" borderId="24" xfId="0" applyNumberFormat="1" applyFont="1" applyBorder="1" applyAlignment="1">
      <alignment horizontal="left" vertical="center" wrapText="1"/>
    </xf>
    <xf numFmtId="0" fontId="49" fillId="0" borderId="0" xfId="0" applyFont="1" applyBorder="1" applyAlignment="1">
      <alignment horizontal="center" vertical="center" wrapText="1"/>
    </xf>
    <xf numFmtId="191" fontId="26" fillId="0" borderId="24" xfId="0" applyNumberFormat="1" applyFont="1" applyBorder="1" applyAlignment="1">
      <alignment horizontal="left" vertical="center" wrapText="1"/>
    </xf>
    <xf numFmtId="191" fontId="26" fillId="0" borderId="65" xfId="0" applyNumberFormat="1" applyFont="1" applyBorder="1" applyAlignment="1">
      <alignment horizontal="left" vertical="center" wrapText="1"/>
    </xf>
    <xf numFmtId="191" fontId="31" fillId="0" borderId="151" xfId="0" applyNumberFormat="1" applyFont="1" applyBorder="1" applyAlignment="1">
      <alignment horizontal="left" vertical="center" wrapText="1"/>
    </xf>
    <xf numFmtId="191" fontId="31" fillId="0" borderId="127" xfId="0" applyNumberFormat="1" applyFont="1" applyBorder="1" applyAlignment="1">
      <alignment horizontal="left" vertical="center" wrapText="1"/>
    </xf>
    <xf numFmtId="190" fontId="31" fillId="0" borderId="24" xfId="0" applyNumberFormat="1" applyFont="1" applyBorder="1" applyAlignment="1">
      <alignment horizontal="right" vertical="center" wrapText="1"/>
    </xf>
    <xf numFmtId="0" fontId="121" fillId="6" borderId="24" xfId="0" applyFont="1" applyFill="1" applyBorder="1" applyAlignment="1" applyProtection="1">
      <alignment horizontal="center" vertical="center" wrapText="1"/>
      <protection locked="0"/>
    </xf>
    <xf numFmtId="0" fontId="46" fillId="0" borderId="25" xfId="0" applyFont="1" applyBorder="1" applyAlignment="1" applyProtection="1">
      <alignment horizontal="center" vertical="center" wrapText="1"/>
      <protection locked="0"/>
    </xf>
    <xf numFmtId="0" fontId="0" fillId="0" borderId="35" xfId="0" applyBorder="1" applyAlignment="1">
      <alignment horizontal="center" vertical="center" wrapText="1"/>
    </xf>
    <xf numFmtId="0" fontId="0" fillId="0" borderId="26" xfId="0" applyBorder="1" applyAlignment="1">
      <alignment horizontal="center" vertical="center" wrapText="1"/>
    </xf>
    <xf numFmtId="0" fontId="49" fillId="0" borderId="31" xfId="0" applyFont="1" applyBorder="1" applyAlignment="1">
      <alignment vertical="center" wrapText="1"/>
    </xf>
    <xf numFmtId="0" fontId="49" fillId="0" borderId="32" xfId="0" applyFont="1" applyBorder="1" applyAlignment="1">
      <alignment vertical="center" wrapText="1"/>
    </xf>
    <xf numFmtId="0" fontId="49" fillId="0" borderId="27" xfId="0" applyFont="1" applyBorder="1" applyAlignment="1">
      <alignment vertical="center" wrapText="1"/>
    </xf>
    <xf numFmtId="0" fontId="49" fillId="0" borderId="30" xfId="0" applyFont="1" applyBorder="1" applyAlignment="1">
      <alignment vertical="center" wrapText="1"/>
    </xf>
    <xf numFmtId="0" fontId="49" fillId="0" borderId="0" xfId="0" applyFont="1" applyBorder="1" applyAlignment="1">
      <alignment vertical="center" wrapText="1"/>
    </xf>
    <xf numFmtId="0" fontId="49" fillId="0" borderId="28" xfId="0" applyFont="1" applyBorder="1" applyAlignment="1">
      <alignment vertical="center" wrapText="1"/>
    </xf>
    <xf numFmtId="0" fontId="49" fillId="0" borderId="33" xfId="0" applyFont="1" applyBorder="1" applyAlignment="1">
      <alignment vertical="center" wrapText="1"/>
    </xf>
    <xf numFmtId="0" fontId="49" fillId="0" borderId="34" xfId="0" applyFont="1" applyBorder="1" applyAlignment="1">
      <alignment vertical="center" wrapText="1"/>
    </xf>
    <xf numFmtId="0" fontId="49" fillId="0" borderId="29" xfId="0" applyFont="1" applyBorder="1" applyAlignment="1">
      <alignment vertical="center" wrapText="1"/>
    </xf>
    <xf numFmtId="0" fontId="31" fillId="0" borderId="24" xfId="0" applyFont="1" applyBorder="1" applyAlignment="1" applyProtection="1">
      <alignment vertical="center" wrapText="1"/>
      <protection locked="0"/>
    </xf>
    <xf numFmtId="190" fontId="46" fillId="0" borderId="24" xfId="0" applyNumberFormat="1" applyFont="1" applyBorder="1" applyAlignment="1">
      <alignment horizontal="right" vertical="center" wrapText="1"/>
    </xf>
    <xf numFmtId="0" fontId="49" fillId="0" borderId="0" xfId="0" applyFont="1" applyAlignment="1">
      <alignment vertical="top" wrapText="1"/>
    </xf>
    <xf numFmtId="0" fontId="49" fillId="0" borderId="0" xfId="0" applyFont="1" applyAlignment="1">
      <alignment wrapText="1"/>
    </xf>
    <xf numFmtId="0" fontId="28" fillId="0" borderId="0" xfId="0" applyFont="1" applyAlignment="1">
      <alignment vertical="center" wrapText="1"/>
    </xf>
    <xf numFmtId="0" fontId="49" fillId="0" borderId="31" xfId="0" applyFont="1" applyBorder="1" applyAlignment="1">
      <alignment horizontal="center" vertical="center" wrapText="1"/>
    </xf>
    <xf numFmtId="0" fontId="49" fillId="0" borderId="32" xfId="0" applyFont="1" applyBorder="1" applyAlignment="1">
      <alignment horizontal="center" vertical="center" wrapText="1"/>
    </xf>
    <xf numFmtId="0" fontId="31" fillId="0" borderId="24" xfId="0" applyFont="1" applyBorder="1" applyAlignment="1">
      <alignment horizontal="center" vertical="center" wrapText="1"/>
    </xf>
    <xf numFmtId="0" fontId="49" fillId="0" borderId="0" xfId="0" applyFont="1" applyAlignment="1">
      <alignment horizontal="center" vertical="center" wrapText="1"/>
    </xf>
    <xf numFmtId="0" fontId="31" fillId="0" borderId="32" xfId="0" applyFont="1" applyBorder="1" applyAlignment="1">
      <alignment horizontal="center" vertical="center" wrapText="1"/>
    </xf>
    <xf numFmtId="0" fontId="70" fillId="0" borderId="0" xfId="0" applyFont="1" applyAlignment="1">
      <alignment horizontal="center" vertical="center" wrapText="1"/>
    </xf>
  </cellXfs>
  <cellStyles count="83">
    <cellStyle name="20% - Énfasis1 2" xfId="21"/>
    <cellStyle name="20% - Énfasis2 2" xfId="22"/>
    <cellStyle name="20% - Énfasis3 2" xfId="23"/>
    <cellStyle name="20% - Énfasis4 2" xfId="24"/>
    <cellStyle name="20% - Énfasis5 2" xfId="25"/>
    <cellStyle name="20% - Énfasis6 2" xfId="26"/>
    <cellStyle name="40% - Énfasis1 2" xfId="27"/>
    <cellStyle name="40% - Énfasis2 2" xfId="28"/>
    <cellStyle name="40% - Énfasis3 2" xfId="29"/>
    <cellStyle name="40% - Énfasis4 2" xfId="30"/>
    <cellStyle name="40% - Énfasis5 2" xfId="31"/>
    <cellStyle name="40% - Énfasis6 2" xfId="32"/>
    <cellStyle name="60% - Énfasis1 2" xfId="33"/>
    <cellStyle name="60% - Énfasis2 2" xfId="34"/>
    <cellStyle name="60% - Énfasis3 2" xfId="35"/>
    <cellStyle name="60% - Énfasis4 2" xfId="36"/>
    <cellStyle name="60% - Énfasis5 2" xfId="37"/>
    <cellStyle name="60% - Énfasis6 2" xfId="38"/>
    <cellStyle name="Buena 2" xfId="39"/>
    <cellStyle name="Cálculo 2" xfId="40"/>
    <cellStyle name="Celda de comprobación 2" xfId="41"/>
    <cellStyle name="Celda vinculada 2" xfId="42"/>
    <cellStyle name="Encabezado 4 2" xfId="43"/>
    <cellStyle name="Énfasis1 2" xfId="44"/>
    <cellStyle name="Énfasis2 2" xfId="45"/>
    <cellStyle name="Énfasis3 2" xfId="46"/>
    <cellStyle name="Énfasis4 2" xfId="47"/>
    <cellStyle name="Énfasis5 2" xfId="48"/>
    <cellStyle name="Énfasis6 2" xfId="49"/>
    <cellStyle name="Entrada 2" xfId="50"/>
    <cellStyle name="Euro" xfId="51"/>
    <cellStyle name="Incorrecto 2" xfId="52"/>
    <cellStyle name="Millares" xfId="16" builtinId="3"/>
    <cellStyle name="Millares 2" xfId="9"/>
    <cellStyle name="Millares 2 2" xfId="53"/>
    <cellStyle name="Millares 20" xfId="18"/>
    <cellStyle name="Millares 3" xfId="10"/>
    <cellStyle name="Millares 3 2" xfId="54"/>
    <cellStyle name="Millares 3 3" xfId="55"/>
    <cellStyle name="Millares 4" xfId="3"/>
    <cellStyle name="Millares 5" xfId="56"/>
    <cellStyle name="Millares 6" xfId="11"/>
    <cellStyle name="Moneda" xfId="17" builtinId="4"/>
    <cellStyle name="Moneda 2" xfId="6"/>
    <cellStyle name="Moneda 2 2" xfId="57"/>
    <cellStyle name="Moneda 3" xfId="12"/>
    <cellStyle name="Moneda 3 2" xfId="20"/>
    <cellStyle name="Neutral 2" xfId="58"/>
    <cellStyle name="Normal" xfId="0" builtinId="0"/>
    <cellStyle name="Normal 13" xfId="59"/>
    <cellStyle name="Normal 2" xfId="5"/>
    <cellStyle name="Normal 2 2" xfId="4"/>
    <cellStyle name="Normal 20" xfId="60"/>
    <cellStyle name="Normal 20 2" xfId="61"/>
    <cellStyle name="Normal 20 2 2" xfId="62"/>
    <cellStyle name="Normal 20 3" xfId="63"/>
    <cellStyle name="Normal 3" xfId="13"/>
    <cellStyle name="Normal 3 2" xfId="14"/>
    <cellStyle name="Normal 3 2 2" xfId="64"/>
    <cellStyle name="Normal 3 2 3" xfId="19"/>
    <cellStyle name="Normal 3 3" xfId="65"/>
    <cellStyle name="Normal 3 4" xfId="66"/>
    <cellStyle name="Normal 4" xfId="67"/>
    <cellStyle name="Normal 4 2" xfId="15"/>
    <cellStyle name="Normal 5" xfId="2"/>
    <cellStyle name="Normal 6" xfId="82"/>
    <cellStyle name="Normal_Chivolo (Alcant) OFICIAL" xfId="7"/>
    <cellStyle name="Normal_FUNDADORES 3" xfId="8"/>
    <cellStyle name="Notas 2" xfId="68"/>
    <cellStyle name="Porcentaje" xfId="1" builtinId="5"/>
    <cellStyle name="Porcentaje 2" xfId="69"/>
    <cellStyle name="Porcentaje 2 2" xfId="70"/>
    <cellStyle name="Porcentaje 2 3" xfId="71"/>
    <cellStyle name="Porcentaje 3" xfId="72"/>
    <cellStyle name="Porcentual 2" xfId="73"/>
    <cellStyle name="Salida 2" xfId="74"/>
    <cellStyle name="Texto de advertencia 2" xfId="75"/>
    <cellStyle name="Texto explicativo 2" xfId="76"/>
    <cellStyle name="Título 1 2" xfId="77"/>
    <cellStyle name="Título 2 2" xfId="78"/>
    <cellStyle name="Título 3 2" xfId="79"/>
    <cellStyle name="Título 4" xfId="80"/>
    <cellStyle name="Total 2" xfId="81"/>
  </cellStyles>
  <dxfs count="364">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theme="0" tint="-0.14996795556505021"/>
        </patternFill>
      </fill>
    </dxf>
    <dxf>
      <fill>
        <patternFill>
          <bgColor theme="0" tint="-0.14996795556505021"/>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color rgb="FFFF0000"/>
      </font>
    </dxf>
    <dxf>
      <font>
        <b/>
        <i val="0"/>
        <color rgb="FFFF0000"/>
      </font>
    </dxf>
    <dxf>
      <fill>
        <patternFill>
          <bgColor theme="0" tint="-0.14996795556505021"/>
        </patternFill>
      </fill>
    </dxf>
    <dxf>
      <fill>
        <patternFill>
          <bgColor theme="0" tint="-0.14996795556505021"/>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color rgb="FFFF0000"/>
      </font>
    </dxf>
    <dxf>
      <font>
        <b/>
        <i val="0"/>
        <color rgb="FFFF0000"/>
      </font>
    </dxf>
    <dxf>
      <fill>
        <patternFill>
          <bgColor theme="0" tint="-0.14996795556505021"/>
        </patternFill>
      </fill>
    </dxf>
    <dxf>
      <fill>
        <patternFill>
          <bgColor theme="0" tint="-0.14996795556505021"/>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theme="0" tint="-0.14996795556505021"/>
        </patternFill>
      </fill>
    </dxf>
    <dxf>
      <fill>
        <patternFill>
          <bgColor theme="0" tint="-0.14996795556505021"/>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theme="0" tint="-0.14996795556505021"/>
        </patternFill>
      </fill>
    </dxf>
    <dxf>
      <fill>
        <patternFill>
          <bgColor theme="0" tint="-0.14996795556505021"/>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theme="0" tint="-0.14996795556505021"/>
        </patternFill>
      </fill>
    </dxf>
    <dxf>
      <fill>
        <patternFill>
          <bgColor theme="0" tint="-0.14996795556505021"/>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theme="0" tint="-0.14996795556505021"/>
        </patternFill>
      </fill>
    </dxf>
    <dxf>
      <fill>
        <patternFill>
          <bgColor theme="0" tint="-0.14996795556505021"/>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theme="0" tint="-0.14996795556505021"/>
        </patternFill>
      </fill>
    </dxf>
    <dxf>
      <fill>
        <patternFill>
          <bgColor theme="0" tint="-0.14996795556505021"/>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theme="0" tint="-0.14996795556505021"/>
        </patternFill>
      </fill>
    </dxf>
    <dxf>
      <fill>
        <patternFill>
          <bgColor theme="0" tint="-0.14996795556505021"/>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theme="0" tint="-0.14996795556505021"/>
        </patternFill>
      </fill>
    </dxf>
    <dxf>
      <fill>
        <patternFill>
          <bgColor theme="0" tint="-0.14996795556505021"/>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color rgb="FFFF0000"/>
      </font>
    </dxf>
    <dxf>
      <font>
        <b/>
        <i val="0"/>
        <color rgb="FFFF0000"/>
      </font>
    </dxf>
    <dxf>
      <font>
        <b/>
        <i val="0"/>
        <color rgb="FFFF0000"/>
      </font>
    </dxf>
    <dxf>
      <font>
        <b/>
        <i val="0"/>
        <color rgb="FFFF0000"/>
      </font>
    </dxf>
    <dxf>
      <font>
        <b/>
        <i val="0"/>
        <color rgb="FFFF0000"/>
      </font>
    </dxf>
    <dxf>
      <fill>
        <patternFill>
          <bgColor theme="0" tint="-0.14996795556505021"/>
        </patternFill>
      </fill>
    </dxf>
    <dxf>
      <fill>
        <patternFill>
          <bgColor theme="0" tint="-0.14996795556505021"/>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rgb="FFFF0000"/>
      </font>
    </dxf>
    <dxf>
      <font>
        <b/>
        <i val="0"/>
        <color rgb="FFFF0000"/>
      </font>
    </dxf>
    <dxf>
      <fill>
        <patternFill>
          <bgColor theme="0" tint="-0.14996795556505021"/>
        </patternFill>
      </fill>
    </dxf>
    <dxf>
      <fill>
        <patternFill>
          <bgColor theme="0" tint="-0.14996795556505021"/>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b/>
        <i val="0"/>
        <strike val="0"/>
        <color auto="1"/>
      </font>
      <fill>
        <patternFill>
          <bgColor theme="9" tint="0.79998168889431442"/>
        </patternFill>
      </fill>
    </dxf>
    <dxf>
      <font>
        <color rgb="FFACFEEC"/>
      </font>
      <fill>
        <patternFill>
          <bgColor rgb="FFACFEEC"/>
        </patternFill>
      </fill>
    </dxf>
    <dxf>
      <font>
        <color rgb="FFACFEEC"/>
      </font>
      <fill>
        <patternFill>
          <bgColor rgb="FFACFEEC"/>
        </patternFill>
      </fill>
    </dxf>
    <dxf>
      <font>
        <color rgb="FFACFEEC"/>
      </font>
      <fill>
        <patternFill>
          <bgColor rgb="FFACFEEC"/>
        </patternFill>
      </fill>
    </dxf>
    <dxf>
      <font>
        <color rgb="FFACFEEC"/>
      </font>
      <fill>
        <patternFill>
          <bgColor rgb="FFACFEEC"/>
        </patternFill>
      </fill>
    </dxf>
    <dxf>
      <font>
        <color rgb="FFACFEEC"/>
      </font>
      <fill>
        <patternFill>
          <bgColor rgb="FFACFEEC"/>
        </patternFill>
      </fill>
    </dxf>
    <dxf>
      <font>
        <color rgb="FFACFEEC"/>
      </font>
      <fill>
        <patternFill>
          <bgColor rgb="FFACFEEC"/>
        </patternFill>
      </fill>
    </dxf>
    <dxf>
      <font>
        <color rgb="FFACFEEC"/>
      </font>
      <fill>
        <patternFill>
          <bgColor rgb="FFACFEEC"/>
        </patternFill>
      </fill>
    </dxf>
    <dxf>
      <font>
        <color rgb="FFACFEEC"/>
      </font>
      <fill>
        <patternFill>
          <bgColor rgb="FFACFEEC"/>
        </patternFill>
      </fill>
    </dxf>
    <dxf>
      <font>
        <color rgb="FFACFEEC"/>
      </font>
      <fill>
        <patternFill>
          <bgColor rgb="FFACFEEC"/>
        </patternFill>
      </fill>
    </dxf>
    <dxf>
      <font>
        <color rgb="FFACFEEC"/>
      </font>
      <fill>
        <patternFill>
          <bgColor rgb="FFACFEEC"/>
        </patternFill>
      </fill>
    </dxf>
    <dxf>
      <font>
        <color rgb="FFACFEEC"/>
      </font>
      <fill>
        <patternFill>
          <bgColor rgb="FFACFEEC"/>
        </patternFill>
      </fill>
    </dxf>
    <dxf>
      <font>
        <color rgb="FFACFEEC"/>
      </font>
      <fill>
        <patternFill>
          <bgColor rgb="FFACFEEC"/>
        </patternFill>
      </fill>
    </dxf>
    <dxf>
      <font>
        <color rgb="FFACFEEC"/>
      </font>
      <fill>
        <patternFill>
          <bgColor rgb="FFACFEEC"/>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363"/>
      <tableStyleElement type="headerRow" dxfId="362"/>
    </tableStyle>
  </tableStyles>
  <colors>
    <mruColors>
      <color rgb="FF0070C0"/>
      <color rgb="FFB3FFDE"/>
      <color rgb="FFACFEEC"/>
      <color rgb="FF029878"/>
      <color rgb="FF79ADDD"/>
      <color rgb="FFE89166"/>
      <color rgb="FFB482DA"/>
      <color rgb="FF03D7AA"/>
      <color rgb="FFD5FF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5.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5.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5.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5.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8.png"/></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8.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9.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11.png"/><Relationship Id="rId7" Type="http://schemas.openxmlformats.org/officeDocument/2006/relationships/image" Target="../media/image14.emf"/><Relationship Id="rId2" Type="http://schemas.openxmlformats.org/officeDocument/2006/relationships/image" Target="../media/image10.png"/><Relationship Id="rId1" Type="http://schemas.openxmlformats.org/officeDocument/2006/relationships/image" Target="../media/image9.png"/><Relationship Id="rId6" Type="http://schemas.openxmlformats.org/officeDocument/2006/relationships/image" Target="../media/image13.jpeg"/><Relationship Id="rId5" Type="http://schemas.openxmlformats.org/officeDocument/2006/relationships/image" Target="../media/image12.jpeg"/><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4.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4.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4.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4.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4.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4.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4.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4.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4.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6.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4.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313113</xdr:colOff>
      <xdr:row>1</xdr:row>
      <xdr:rowOff>139160</xdr:rowOff>
    </xdr:from>
    <xdr:to>
      <xdr:col>2</xdr:col>
      <xdr:colOff>852928</xdr:colOff>
      <xdr:row>5</xdr:row>
      <xdr:rowOff>74507</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778780" y="545560"/>
          <a:ext cx="1488081" cy="942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1015309</xdr:colOff>
      <xdr:row>2</xdr:row>
      <xdr:rowOff>14507</xdr:rowOff>
    </xdr:from>
    <xdr:to>
      <xdr:col>10</xdr:col>
      <xdr:colOff>341595</xdr:colOff>
      <xdr:row>5</xdr:row>
      <xdr:rowOff>88590</xdr:rowOff>
    </xdr:to>
    <xdr:pic>
      <xdr:nvPicPr>
        <xdr:cNvPr id="3" name="Imagen 3"/>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101909" y="649507"/>
          <a:ext cx="884152" cy="7852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474207</xdr:colOff>
      <xdr:row>2</xdr:row>
      <xdr:rowOff>8413</xdr:rowOff>
    </xdr:from>
    <xdr:to>
      <xdr:col>1</xdr:col>
      <xdr:colOff>1409700</xdr:colOff>
      <xdr:row>8</xdr:row>
      <xdr:rowOff>27382</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474207" y="343693"/>
          <a:ext cx="1468893" cy="933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2270760</xdr:colOff>
      <xdr:row>2</xdr:row>
      <xdr:rowOff>91440</xdr:rowOff>
    </xdr:from>
    <xdr:to>
      <xdr:col>1</xdr:col>
      <xdr:colOff>3159146</xdr:colOff>
      <xdr:row>7</xdr:row>
      <xdr:rowOff>112183</xdr:rowOff>
    </xdr:to>
    <xdr:pic>
      <xdr:nvPicPr>
        <xdr:cNvPr id="3" name="Imagen 2"/>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2804160" y="426720"/>
          <a:ext cx="888386" cy="782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474207</xdr:colOff>
      <xdr:row>2</xdr:row>
      <xdr:rowOff>8413</xdr:rowOff>
    </xdr:from>
    <xdr:to>
      <xdr:col>1</xdr:col>
      <xdr:colOff>1409700</xdr:colOff>
      <xdr:row>8</xdr:row>
      <xdr:rowOff>27382</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474207" y="343693"/>
          <a:ext cx="1468893" cy="933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2270760</xdr:colOff>
      <xdr:row>2</xdr:row>
      <xdr:rowOff>91440</xdr:rowOff>
    </xdr:from>
    <xdr:to>
      <xdr:col>1</xdr:col>
      <xdr:colOff>3159146</xdr:colOff>
      <xdr:row>7</xdr:row>
      <xdr:rowOff>112183</xdr:rowOff>
    </xdr:to>
    <xdr:pic>
      <xdr:nvPicPr>
        <xdr:cNvPr id="3" name="Imagen 2"/>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2804160" y="426720"/>
          <a:ext cx="888386" cy="782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474207</xdr:colOff>
      <xdr:row>2</xdr:row>
      <xdr:rowOff>8413</xdr:rowOff>
    </xdr:from>
    <xdr:to>
      <xdr:col>1</xdr:col>
      <xdr:colOff>1409700</xdr:colOff>
      <xdr:row>8</xdr:row>
      <xdr:rowOff>27382</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474207" y="343693"/>
          <a:ext cx="1468893" cy="933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2270760</xdr:colOff>
      <xdr:row>2</xdr:row>
      <xdr:rowOff>91440</xdr:rowOff>
    </xdr:from>
    <xdr:to>
      <xdr:col>1</xdr:col>
      <xdr:colOff>3159146</xdr:colOff>
      <xdr:row>7</xdr:row>
      <xdr:rowOff>112183</xdr:rowOff>
    </xdr:to>
    <xdr:pic>
      <xdr:nvPicPr>
        <xdr:cNvPr id="3" name="Imagen 2"/>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2804160" y="426720"/>
          <a:ext cx="888386" cy="782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474207</xdr:colOff>
      <xdr:row>2</xdr:row>
      <xdr:rowOff>8413</xdr:rowOff>
    </xdr:from>
    <xdr:to>
      <xdr:col>1</xdr:col>
      <xdr:colOff>1409700</xdr:colOff>
      <xdr:row>8</xdr:row>
      <xdr:rowOff>27382</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474207" y="343693"/>
          <a:ext cx="1468893" cy="933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2270760</xdr:colOff>
      <xdr:row>2</xdr:row>
      <xdr:rowOff>91440</xdr:rowOff>
    </xdr:from>
    <xdr:to>
      <xdr:col>1</xdr:col>
      <xdr:colOff>3159146</xdr:colOff>
      <xdr:row>7</xdr:row>
      <xdr:rowOff>112183</xdr:rowOff>
    </xdr:to>
    <xdr:pic>
      <xdr:nvPicPr>
        <xdr:cNvPr id="3" name="Imagen 2"/>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2804160" y="426720"/>
          <a:ext cx="888386" cy="782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474207</xdr:colOff>
      <xdr:row>2</xdr:row>
      <xdr:rowOff>8413</xdr:rowOff>
    </xdr:from>
    <xdr:to>
      <xdr:col>1</xdr:col>
      <xdr:colOff>1409700</xdr:colOff>
      <xdr:row>8</xdr:row>
      <xdr:rowOff>27382</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474207" y="343693"/>
          <a:ext cx="1468893" cy="933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2270760</xdr:colOff>
      <xdr:row>2</xdr:row>
      <xdr:rowOff>91440</xdr:rowOff>
    </xdr:from>
    <xdr:to>
      <xdr:col>1</xdr:col>
      <xdr:colOff>3159146</xdr:colOff>
      <xdr:row>7</xdr:row>
      <xdr:rowOff>112183</xdr:rowOff>
    </xdr:to>
    <xdr:pic>
      <xdr:nvPicPr>
        <xdr:cNvPr id="3" name="Imagen 2"/>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2804160" y="426720"/>
          <a:ext cx="888386" cy="782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474207</xdr:colOff>
      <xdr:row>2</xdr:row>
      <xdr:rowOff>8413</xdr:rowOff>
    </xdr:from>
    <xdr:to>
      <xdr:col>1</xdr:col>
      <xdr:colOff>1409700</xdr:colOff>
      <xdr:row>8</xdr:row>
      <xdr:rowOff>27382</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474207" y="343693"/>
          <a:ext cx="1468893" cy="933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2270760</xdr:colOff>
      <xdr:row>2</xdr:row>
      <xdr:rowOff>91440</xdr:rowOff>
    </xdr:from>
    <xdr:to>
      <xdr:col>1</xdr:col>
      <xdr:colOff>3159146</xdr:colOff>
      <xdr:row>7</xdr:row>
      <xdr:rowOff>112183</xdr:rowOff>
    </xdr:to>
    <xdr:pic>
      <xdr:nvPicPr>
        <xdr:cNvPr id="3" name="Imagen 2"/>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2804160" y="426720"/>
          <a:ext cx="888386" cy="782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474207</xdr:colOff>
      <xdr:row>2</xdr:row>
      <xdr:rowOff>8413</xdr:rowOff>
    </xdr:from>
    <xdr:to>
      <xdr:col>1</xdr:col>
      <xdr:colOff>1409700</xdr:colOff>
      <xdr:row>8</xdr:row>
      <xdr:rowOff>27382</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474207" y="343693"/>
          <a:ext cx="1468893" cy="933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2270760</xdr:colOff>
      <xdr:row>2</xdr:row>
      <xdr:rowOff>91440</xdr:rowOff>
    </xdr:from>
    <xdr:to>
      <xdr:col>1</xdr:col>
      <xdr:colOff>3159146</xdr:colOff>
      <xdr:row>7</xdr:row>
      <xdr:rowOff>112183</xdr:rowOff>
    </xdr:to>
    <xdr:pic>
      <xdr:nvPicPr>
        <xdr:cNvPr id="3" name="Imagen 2"/>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2804160" y="426720"/>
          <a:ext cx="888386" cy="782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86361</xdr:colOff>
      <xdr:row>0</xdr:row>
      <xdr:rowOff>30479</xdr:rowOff>
    </xdr:from>
    <xdr:to>
      <xdr:col>0</xdr:col>
      <xdr:colOff>1496061</xdr:colOff>
      <xdr:row>2</xdr:row>
      <xdr:rowOff>298855</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6361" y="30479"/>
          <a:ext cx="1409700" cy="893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86361</xdr:colOff>
      <xdr:row>0</xdr:row>
      <xdr:rowOff>30479</xdr:rowOff>
    </xdr:from>
    <xdr:to>
      <xdr:col>0</xdr:col>
      <xdr:colOff>1496061</xdr:colOff>
      <xdr:row>2</xdr:row>
      <xdr:rowOff>298855</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6361" y="30479"/>
          <a:ext cx="1409700" cy="893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86361</xdr:colOff>
      <xdr:row>0</xdr:row>
      <xdr:rowOff>30479</xdr:rowOff>
    </xdr:from>
    <xdr:to>
      <xdr:col>0</xdr:col>
      <xdr:colOff>1496061</xdr:colOff>
      <xdr:row>2</xdr:row>
      <xdr:rowOff>298855</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6361" y="30479"/>
          <a:ext cx="1409700" cy="877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86361</xdr:colOff>
      <xdr:row>0</xdr:row>
      <xdr:rowOff>30479</xdr:rowOff>
    </xdr:from>
    <xdr:to>
      <xdr:col>0</xdr:col>
      <xdr:colOff>1496061</xdr:colOff>
      <xdr:row>3</xdr:row>
      <xdr:rowOff>215035</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6361" y="30479"/>
          <a:ext cx="1409700" cy="8957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86361</xdr:colOff>
      <xdr:row>0</xdr:row>
      <xdr:rowOff>30479</xdr:rowOff>
    </xdr:from>
    <xdr:to>
      <xdr:col>0</xdr:col>
      <xdr:colOff>1496061</xdr:colOff>
      <xdr:row>2</xdr:row>
      <xdr:rowOff>298855</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6361" y="30479"/>
          <a:ext cx="1409700" cy="877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180975</xdr:colOff>
      <xdr:row>0</xdr:row>
      <xdr:rowOff>0</xdr:rowOff>
    </xdr:from>
    <xdr:to>
      <xdr:col>5</xdr:col>
      <xdr:colOff>171450</xdr:colOff>
      <xdr:row>2</xdr:row>
      <xdr:rowOff>266700</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180975" y="0"/>
          <a:ext cx="14097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86361</xdr:colOff>
      <xdr:row>0</xdr:row>
      <xdr:rowOff>30479</xdr:rowOff>
    </xdr:from>
    <xdr:to>
      <xdr:col>0</xdr:col>
      <xdr:colOff>1496061</xdr:colOff>
      <xdr:row>2</xdr:row>
      <xdr:rowOff>298855</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6361" y="30479"/>
          <a:ext cx="1409700" cy="893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86361</xdr:colOff>
      <xdr:row>0</xdr:row>
      <xdr:rowOff>30479</xdr:rowOff>
    </xdr:from>
    <xdr:to>
      <xdr:col>0</xdr:col>
      <xdr:colOff>1496061</xdr:colOff>
      <xdr:row>2</xdr:row>
      <xdr:rowOff>298855</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6361" y="30479"/>
          <a:ext cx="1409700" cy="877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86361</xdr:colOff>
      <xdr:row>0</xdr:row>
      <xdr:rowOff>30479</xdr:rowOff>
    </xdr:from>
    <xdr:to>
      <xdr:col>0</xdr:col>
      <xdr:colOff>1496061</xdr:colOff>
      <xdr:row>2</xdr:row>
      <xdr:rowOff>298855</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6361" y="30479"/>
          <a:ext cx="1409700" cy="877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86361</xdr:colOff>
      <xdr:row>0</xdr:row>
      <xdr:rowOff>30479</xdr:rowOff>
    </xdr:from>
    <xdr:to>
      <xdr:col>0</xdr:col>
      <xdr:colOff>1496061</xdr:colOff>
      <xdr:row>2</xdr:row>
      <xdr:rowOff>298855</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6361" y="30479"/>
          <a:ext cx="1409700" cy="877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86361</xdr:colOff>
      <xdr:row>0</xdr:row>
      <xdr:rowOff>30479</xdr:rowOff>
    </xdr:from>
    <xdr:to>
      <xdr:col>0</xdr:col>
      <xdr:colOff>1496061</xdr:colOff>
      <xdr:row>2</xdr:row>
      <xdr:rowOff>298855</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6361" y="30479"/>
          <a:ext cx="1409700" cy="877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86361</xdr:colOff>
      <xdr:row>0</xdr:row>
      <xdr:rowOff>30479</xdr:rowOff>
    </xdr:from>
    <xdr:to>
      <xdr:col>0</xdr:col>
      <xdr:colOff>1496061</xdr:colOff>
      <xdr:row>2</xdr:row>
      <xdr:rowOff>298855</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6361" y="30479"/>
          <a:ext cx="1409700" cy="893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86361</xdr:colOff>
      <xdr:row>0</xdr:row>
      <xdr:rowOff>30479</xdr:rowOff>
    </xdr:from>
    <xdr:to>
      <xdr:col>0</xdr:col>
      <xdr:colOff>1496061</xdr:colOff>
      <xdr:row>2</xdr:row>
      <xdr:rowOff>298855</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6361" y="30479"/>
          <a:ext cx="1409700" cy="893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86361</xdr:colOff>
      <xdr:row>0</xdr:row>
      <xdr:rowOff>30479</xdr:rowOff>
    </xdr:from>
    <xdr:to>
      <xdr:col>0</xdr:col>
      <xdr:colOff>1496061</xdr:colOff>
      <xdr:row>2</xdr:row>
      <xdr:rowOff>298855</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6361" y="30479"/>
          <a:ext cx="1409700" cy="893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86361</xdr:colOff>
      <xdr:row>0</xdr:row>
      <xdr:rowOff>30479</xdr:rowOff>
    </xdr:from>
    <xdr:to>
      <xdr:col>1</xdr:col>
      <xdr:colOff>962661</xdr:colOff>
      <xdr:row>3</xdr:row>
      <xdr:rowOff>215035</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6361" y="30479"/>
          <a:ext cx="1409700" cy="8957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86361</xdr:colOff>
      <xdr:row>0</xdr:row>
      <xdr:rowOff>30479</xdr:rowOff>
    </xdr:from>
    <xdr:to>
      <xdr:col>0</xdr:col>
      <xdr:colOff>1496061</xdr:colOff>
      <xdr:row>2</xdr:row>
      <xdr:rowOff>298855</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6361" y="30479"/>
          <a:ext cx="1409700" cy="893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86361</xdr:colOff>
      <xdr:row>0</xdr:row>
      <xdr:rowOff>30479</xdr:rowOff>
    </xdr:from>
    <xdr:to>
      <xdr:col>0</xdr:col>
      <xdr:colOff>1496061</xdr:colOff>
      <xdr:row>2</xdr:row>
      <xdr:rowOff>298855</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6361" y="30479"/>
          <a:ext cx="1409700" cy="893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86361</xdr:colOff>
      <xdr:row>0</xdr:row>
      <xdr:rowOff>30479</xdr:rowOff>
    </xdr:from>
    <xdr:to>
      <xdr:col>0</xdr:col>
      <xdr:colOff>1496061</xdr:colOff>
      <xdr:row>2</xdr:row>
      <xdr:rowOff>298855</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6361" y="30479"/>
          <a:ext cx="1409700" cy="893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86361</xdr:colOff>
      <xdr:row>0</xdr:row>
      <xdr:rowOff>30479</xdr:rowOff>
    </xdr:from>
    <xdr:to>
      <xdr:col>0</xdr:col>
      <xdr:colOff>1496061</xdr:colOff>
      <xdr:row>2</xdr:row>
      <xdr:rowOff>298855</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6361" y="30479"/>
          <a:ext cx="1409700" cy="893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261936</xdr:colOff>
      <xdr:row>5</xdr:row>
      <xdr:rowOff>71439</xdr:rowOff>
    </xdr:from>
    <xdr:to>
      <xdr:col>3</xdr:col>
      <xdr:colOff>226219</xdr:colOff>
      <xdr:row>10</xdr:row>
      <xdr:rowOff>321469</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766761" y="890589"/>
          <a:ext cx="1754983" cy="1069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461963</xdr:colOff>
      <xdr:row>10</xdr:row>
      <xdr:rowOff>16412</xdr:rowOff>
    </xdr:from>
    <xdr:to>
      <xdr:col>3</xdr:col>
      <xdr:colOff>1912789</xdr:colOff>
      <xdr:row>14</xdr:row>
      <xdr:rowOff>46937</xdr:rowOff>
    </xdr:to>
    <xdr:pic>
      <xdr:nvPicPr>
        <xdr:cNvPr id="3" name="Imagen 2"/>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2757488" y="1654712"/>
          <a:ext cx="1450826" cy="125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261936</xdr:colOff>
      <xdr:row>5</xdr:row>
      <xdr:rowOff>71439</xdr:rowOff>
    </xdr:from>
    <xdr:to>
      <xdr:col>3</xdr:col>
      <xdr:colOff>226219</xdr:colOff>
      <xdr:row>10</xdr:row>
      <xdr:rowOff>321469</xdr:rowOff>
    </xdr:to>
    <xdr:pic>
      <xdr:nvPicPr>
        <xdr:cNvPr id="8"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761999" y="904877"/>
          <a:ext cx="1762126" cy="1083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461963</xdr:colOff>
      <xdr:row>10</xdr:row>
      <xdr:rowOff>16412</xdr:rowOff>
    </xdr:from>
    <xdr:to>
      <xdr:col>3</xdr:col>
      <xdr:colOff>1912789</xdr:colOff>
      <xdr:row>14</xdr:row>
      <xdr:rowOff>46937</xdr:rowOff>
    </xdr:to>
    <xdr:pic>
      <xdr:nvPicPr>
        <xdr:cNvPr id="10" name="Imagen 2"/>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2757488" y="1654712"/>
          <a:ext cx="1450826" cy="125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173936</xdr:colOff>
      <xdr:row>0</xdr:row>
      <xdr:rowOff>78966</xdr:rowOff>
    </xdr:from>
    <xdr:to>
      <xdr:col>2</xdr:col>
      <xdr:colOff>1764197</xdr:colOff>
      <xdr:row>4</xdr:row>
      <xdr:rowOff>74543</xdr:rowOff>
    </xdr:to>
    <xdr:pic>
      <xdr:nvPicPr>
        <xdr:cNvPr id="4"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877958" y="78966"/>
          <a:ext cx="1590261" cy="757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474207</xdr:colOff>
      <xdr:row>2</xdr:row>
      <xdr:rowOff>8413</xdr:rowOff>
    </xdr:from>
    <xdr:to>
      <xdr:col>1</xdr:col>
      <xdr:colOff>1409700</xdr:colOff>
      <xdr:row>8</xdr:row>
      <xdr:rowOff>27382</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474207" y="343693"/>
          <a:ext cx="1468893" cy="933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2270760</xdr:colOff>
      <xdr:row>2</xdr:row>
      <xdr:rowOff>91440</xdr:rowOff>
    </xdr:from>
    <xdr:to>
      <xdr:col>1</xdr:col>
      <xdr:colOff>3159146</xdr:colOff>
      <xdr:row>7</xdr:row>
      <xdr:rowOff>112183</xdr:rowOff>
    </xdr:to>
    <xdr:pic>
      <xdr:nvPicPr>
        <xdr:cNvPr id="3" name="Imagen 2"/>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2804160" y="426720"/>
          <a:ext cx="888386" cy="782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75273</xdr:colOff>
      <xdr:row>2</xdr:row>
      <xdr:rowOff>6393</xdr:rowOff>
    </xdr:from>
    <xdr:to>
      <xdr:col>9</xdr:col>
      <xdr:colOff>16935</xdr:colOff>
      <xdr:row>6</xdr:row>
      <xdr:rowOff>81889</xdr:rowOff>
    </xdr:to>
    <xdr:pic>
      <xdr:nvPicPr>
        <xdr:cNvPr id="3" name="Imagen 2"/>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430873" y="345060"/>
          <a:ext cx="1186262" cy="752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0</xdr:colOff>
      <xdr:row>2</xdr:row>
      <xdr:rowOff>29950</xdr:rowOff>
    </xdr:from>
    <xdr:to>
      <xdr:col>22</xdr:col>
      <xdr:colOff>68830</xdr:colOff>
      <xdr:row>6</xdr:row>
      <xdr:rowOff>25668</xdr:rowOff>
    </xdr:to>
    <xdr:pic>
      <xdr:nvPicPr>
        <xdr:cNvPr id="4" name="Imagen 3"/>
        <xdr:cNvPicPr>
          <a:picLocks noChangeAspect="1"/>
        </xdr:cNvPicPr>
      </xdr:nvPicPr>
      <xdr:blipFill>
        <a:blip xmlns:r="http://schemas.openxmlformats.org/officeDocument/2006/relationships" r:embed="rId2"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3352800" y="368617"/>
          <a:ext cx="780030" cy="673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75273</xdr:colOff>
      <xdr:row>58</xdr:row>
      <xdr:rowOff>6393</xdr:rowOff>
    </xdr:from>
    <xdr:ext cx="1186262" cy="752829"/>
    <xdr:pic>
      <xdr:nvPicPr>
        <xdr:cNvPr id="21" name="Imagen 20"/>
        <xdr:cNvPicPr>
          <a:picLocks noChangeAspect="1"/>
        </xdr:cNvPicPr>
      </xdr:nvPicPr>
      <xdr:blipFill>
        <a:blip xmlns:r="http://schemas.openxmlformats.org/officeDocument/2006/relationships" r:embed="rId3"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430873" y="345060"/>
          <a:ext cx="1186262" cy="752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58</xdr:row>
      <xdr:rowOff>29950</xdr:rowOff>
    </xdr:from>
    <xdr:ext cx="780030" cy="673051"/>
    <xdr:pic>
      <xdr:nvPicPr>
        <xdr:cNvPr id="22" name="Imagen 21"/>
        <xdr:cNvPicPr>
          <a:picLocks noChangeAspect="1"/>
        </xdr:cNvPicPr>
      </xdr:nvPicPr>
      <xdr:blipFill>
        <a:blip xmlns:r="http://schemas.openxmlformats.org/officeDocument/2006/relationships" r:embed="rId4"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3352800" y="368617"/>
          <a:ext cx="780030" cy="673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0</xdr:colOff>
      <xdr:row>89</xdr:row>
      <xdr:rowOff>1</xdr:rowOff>
    </xdr:from>
    <xdr:to>
      <xdr:col>18</xdr:col>
      <xdr:colOff>168274</xdr:colOff>
      <xdr:row>103</xdr:row>
      <xdr:rowOff>38071</xdr:rowOff>
    </xdr:to>
    <xdr:pic>
      <xdr:nvPicPr>
        <xdr:cNvPr id="23" name="4 Imagen" descr="SAM_0481.JPG"/>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177800" y="15138401"/>
          <a:ext cx="3200399" cy="2408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88</xdr:row>
      <xdr:rowOff>169332</xdr:rowOff>
    </xdr:from>
    <xdr:to>
      <xdr:col>38</xdr:col>
      <xdr:colOff>16774</xdr:colOff>
      <xdr:row>103</xdr:row>
      <xdr:rowOff>42333</xdr:rowOff>
    </xdr:to>
    <xdr:pic>
      <xdr:nvPicPr>
        <xdr:cNvPr id="24" name="5 Imagen" descr="SAM_0562.JPG"/>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3556000" y="15138399"/>
          <a:ext cx="3217174" cy="2413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31649</xdr:colOff>
      <xdr:row>69</xdr:row>
      <xdr:rowOff>106733</xdr:rowOff>
    </xdr:from>
    <xdr:to>
      <xdr:col>35</xdr:col>
      <xdr:colOff>135467</xdr:colOff>
      <xdr:row>86</xdr:row>
      <xdr:rowOff>94409</xdr:rowOff>
    </xdr:to>
    <xdr:pic>
      <xdr:nvPicPr>
        <xdr:cNvPr id="25" name="Picture 1077"/>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l="9801" t="14549" r="51318" b="26067"/>
        <a:stretch>
          <a:fillRect/>
        </a:stretch>
      </xdr:blipFill>
      <xdr:spPr bwMode="auto">
        <a:xfrm>
          <a:off x="1631849" y="11816133"/>
          <a:ext cx="4726618" cy="28917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474207</xdr:colOff>
      <xdr:row>2</xdr:row>
      <xdr:rowOff>8413</xdr:rowOff>
    </xdr:from>
    <xdr:to>
      <xdr:col>1</xdr:col>
      <xdr:colOff>1409700</xdr:colOff>
      <xdr:row>8</xdr:row>
      <xdr:rowOff>27382</xdr:rowOff>
    </xdr:to>
    <xdr:pic>
      <xdr:nvPicPr>
        <xdr:cNvPr id="3" name="Imagen 2"/>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474207" y="343693"/>
          <a:ext cx="1468893" cy="933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2270760</xdr:colOff>
      <xdr:row>2</xdr:row>
      <xdr:rowOff>91440</xdr:rowOff>
    </xdr:from>
    <xdr:to>
      <xdr:col>1</xdr:col>
      <xdr:colOff>3159146</xdr:colOff>
      <xdr:row>7</xdr:row>
      <xdr:rowOff>112183</xdr:rowOff>
    </xdr:to>
    <xdr:pic>
      <xdr:nvPicPr>
        <xdr:cNvPr id="4" name="Imagen 3"/>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2819400" y="426720"/>
          <a:ext cx="888386" cy="782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474207</xdr:colOff>
      <xdr:row>2</xdr:row>
      <xdr:rowOff>8413</xdr:rowOff>
    </xdr:from>
    <xdr:to>
      <xdr:col>1</xdr:col>
      <xdr:colOff>1409700</xdr:colOff>
      <xdr:row>8</xdr:row>
      <xdr:rowOff>27382</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474207" y="343693"/>
          <a:ext cx="1468893" cy="933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2270760</xdr:colOff>
      <xdr:row>2</xdr:row>
      <xdr:rowOff>91440</xdr:rowOff>
    </xdr:from>
    <xdr:to>
      <xdr:col>1</xdr:col>
      <xdr:colOff>3159146</xdr:colOff>
      <xdr:row>7</xdr:row>
      <xdr:rowOff>112183</xdr:rowOff>
    </xdr:to>
    <xdr:pic>
      <xdr:nvPicPr>
        <xdr:cNvPr id="3" name="Imagen 2"/>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2804160" y="426720"/>
          <a:ext cx="888386" cy="782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474207</xdr:colOff>
      <xdr:row>2</xdr:row>
      <xdr:rowOff>8413</xdr:rowOff>
    </xdr:from>
    <xdr:to>
      <xdr:col>1</xdr:col>
      <xdr:colOff>1409700</xdr:colOff>
      <xdr:row>8</xdr:row>
      <xdr:rowOff>27382</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474207" y="343693"/>
          <a:ext cx="1468893" cy="933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2270760</xdr:colOff>
      <xdr:row>2</xdr:row>
      <xdr:rowOff>91440</xdr:rowOff>
    </xdr:from>
    <xdr:to>
      <xdr:col>1</xdr:col>
      <xdr:colOff>3159146</xdr:colOff>
      <xdr:row>7</xdr:row>
      <xdr:rowOff>112183</xdr:rowOff>
    </xdr:to>
    <xdr:pic>
      <xdr:nvPicPr>
        <xdr:cNvPr id="3" name="Imagen 2"/>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2804160" y="426720"/>
          <a:ext cx="888386" cy="782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474207</xdr:colOff>
      <xdr:row>2</xdr:row>
      <xdr:rowOff>8413</xdr:rowOff>
    </xdr:from>
    <xdr:to>
      <xdr:col>1</xdr:col>
      <xdr:colOff>1409700</xdr:colOff>
      <xdr:row>8</xdr:row>
      <xdr:rowOff>27382</xdr:rowOff>
    </xdr:to>
    <xdr:pic>
      <xdr:nvPicPr>
        <xdr:cNvPr id="2" name="Imagen 1"/>
        <xdr:cNvPicPr>
          <a:picLocks noChangeAspect="1"/>
        </xdr:cNvPicPr>
      </xdr:nvPicPr>
      <xdr:blipFill>
        <a:blip xmlns:r="http://schemas.openxmlformats.org/officeDocument/2006/relationships" r:embed="rId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474207" y="343693"/>
          <a:ext cx="1468893" cy="9333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2270760</xdr:colOff>
      <xdr:row>2</xdr:row>
      <xdr:rowOff>91440</xdr:rowOff>
    </xdr:from>
    <xdr:to>
      <xdr:col>1</xdr:col>
      <xdr:colOff>3159146</xdr:colOff>
      <xdr:row>7</xdr:row>
      <xdr:rowOff>112183</xdr:rowOff>
    </xdr:to>
    <xdr:pic>
      <xdr:nvPicPr>
        <xdr:cNvPr id="3" name="Imagen 2"/>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2804160" y="426720"/>
          <a:ext cx="888386" cy="782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FRANCI~1\AppData\Local\Temp\Rar$DI00.193\APU%20NO%20PREVISTOS%20ARGEL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eus\PROYECTOS\PATIA%20OBRA\PROPUESTA%20ECONOMICA%20C%20JGA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ALANCE%20REFORMULACION%20NOV%2015%20%20de%20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ROYECTOS\PATIA%20OBRA\LEGALES\ACTAS\PAGADAS\ENTREGA\BALANCE%20GENERAL%20ARP%20V9%20Y%20ACTA%206%20Y%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P-1 AL 6"/>
      <sheetName val="NP 7 AL 13"/>
      <sheetName val="unitarios"/>
      <sheetName val="listado"/>
    </sheetNames>
    <sheetDataSet>
      <sheetData sheetId="0"/>
      <sheetData sheetId="1" refreshError="1"/>
      <sheetData sheetId="2" refreshError="1"/>
      <sheetData sheetId="3">
        <row r="129">
          <cell r="G129" t="str">
            <v>COSTO TOTAL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para"/>
      <sheetName val="PRESUP_OK"/>
      <sheetName val="CostosAdmin"/>
      <sheetName val="F.Prestacional"/>
      <sheetName val="INSUMOS"/>
      <sheetName val="INSUM CLASIF"/>
      <sheetName val="CRONOGRAMA"/>
      <sheetName val="FORMATOS"/>
      <sheetName val="Hoja1"/>
      <sheetName val="BALANCE 2"/>
      <sheetName val="PRE ACTA 1"/>
      <sheetName val="DETALLE DE ACTA"/>
      <sheetName val="CON ADICION"/>
      <sheetName val="6A.1 Excavacion Conglomerado"/>
      <sheetName val="6A.2 Excavacion Roca"/>
      <sheetName val="6A.5 Relleno Prestamo"/>
      <sheetName val="6A.6 Cama de Arena"/>
      <sheetName val="6A.7 Trincho soporte tub"/>
      <sheetName val="6A.8 red concentrica 8&quot;x6&quot; HD"/>
      <sheetName val="6A.9 Union Rapida  8&quot;UM"/>
      <sheetName val="6A.10 Union Rapida  6&quot;UM"/>
      <sheetName val="6A.12 Red Con 10&quot; x 6&quot; HD"/>
      <sheetName val="ANALISIS"/>
      <sheetName val="6A.13 Val Antifraude 0,5&quot;"/>
      <sheetName val="6A.16 Codo 90º GR 8&quot; PVC UM "/>
      <sheetName val="6A.17 Unión Rep 8&quot;"/>
      <sheetName val="6A.18 TEE 8&quot;X8&quot; HD EL"/>
      <sheetName val="6A.19 Roceria"/>
      <sheetName val="6A.20 Codo 90º RC 3&quot; PVC UM"/>
      <sheetName val="6A.21 Codo 45º 8&quot;RC PVC UM"/>
      <sheetName val="6A.22 Brida Loca PVC 8&quot;"/>
      <sheetName val="6A.23 Union Universal de 10&quot; HD"/>
      <sheetName val="6A.24 BOMBEOS"/>
      <sheetName val="6A.14 concreto paso subfluviale"/>
      <sheetName val="1.0 CONCRETO SIMPLE 4000 PSI"/>
      <sheetName val="BALANCE 1"/>
      <sheetName val="ACTA 1"/>
      <sheetName val="SUM TEE Y VALVULAS"/>
      <sheetName val="VP y VV"/>
      <sheetName val="EMPALES"/>
      <sheetName val="INVENTARIO"/>
      <sheetName val="COTI&lt;ACION"/>
    </sheetNames>
    <sheetDataSet>
      <sheetData sheetId="0" refreshError="1"/>
      <sheetData sheetId="1" refreshError="1"/>
      <sheetData sheetId="2" refreshError="1"/>
      <sheetData sheetId="3">
        <row r="10">
          <cell r="E10">
            <v>5825</v>
          </cell>
          <cell r="G10">
            <v>7970</v>
          </cell>
        </row>
      </sheetData>
      <sheetData sheetId="4">
        <row r="6">
          <cell r="P6">
            <v>3615681143.7500005</v>
          </cell>
        </row>
      </sheetData>
      <sheetData sheetId="5" refreshError="1"/>
      <sheetData sheetId="6">
        <row r="21">
          <cell r="G21">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S NO PREV.No 1"/>
      <sheetName val="ITEMS NO PREV.No 2"/>
      <sheetName val="ACTA MOD. reformulacion"/>
      <sheetName val="BALANCE REFORMULACION"/>
      <sheetName val="BALANCE DISTRIBUIDO"/>
      <sheetName val="COSOLIDADO ADIC. REFORMULACION"/>
      <sheetName val="ACTA MOD. 1"/>
      <sheetName val="ACTA MOD. 2"/>
      <sheetName val="ACTA No 1 TIMBIO"/>
      <sheetName val="ACTA No 2 (con mod. 1)"/>
      <sheetName val="ANALISIS COMPARATIVO"/>
    </sheetNames>
    <sheetDataSet>
      <sheetData sheetId="0"/>
      <sheetData sheetId="1"/>
      <sheetData sheetId="2">
        <row r="24">
          <cell r="K24">
            <v>1481.85</v>
          </cell>
        </row>
        <row r="25">
          <cell r="K25">
            <v>1481.85</v>
          </cell>
        </row>
        <row r="26">
          <cell r="K26">
            <v>4092.7399800000003</v>
          </cell>
        </row>
        <row r="27">
          <cell r="K27">
            <v>1132.1000000000001</v>
          </cell>
        </row>
        <row r="28">
          <cell r="K28">
            <v>983.65</v>
          </cell>
        </row>
        <row r="29">
          <cell r="K29">
            <v>0</v>
          </cell>
        </row>
        <row r="30">
          <cell r="K30">
            <v>23.445</v>
          </cell>
        </row>
        <row r="31">
          <cell r="K31">
            <v>0</v>
          </cell>
        </row>
        <row r="32">
          <cell r="K32">
            <v>0</v>
          </cell>
        </row>
        <row r="33">
          <cell r="K33">
            <v>180</v>
          </cell>
        </row>
        <row r="34">
          <cell r="K34">
            <v>2</v>
          </cell>
        </row>
        <row r="35">
          <cell r="K35">
            <v>0</v>
          </cell>
        </row>
        <row r="36">
          <cell r="K36">
            <v>0</v>
          </cell>
        </row>
        <row r="37">
          <cell r="K37">
            <v>0</v>
          </cell>
        </row>
        <row r="38">
          <cell r="K38">
            <v>0</v>
          </cell>
        </row>
        <row r="39">
          <cell r="K39">
            <v>123.57</v>
          </cell>
        </row>
        <row r="40">
          <cell r="K40">
            <v>43.89</v>
          </cell>
        </row>
        <row r="41">
          <cell r="K41">
            <v>20.97</v>
          </cell>
        </row>
        <row r="42">
          <cell r="K42">
            <v>7.639999999999997</v>
          </cell>
        </row>
        <row r="43">
          <cell r="K43">
            <v>17574.23</v>
          </cell>
        </row>
        <row r="44">
          <cell r="K44">
            <v>86.5</v>
          </cell>
        </row>
        <row r="45">
          <cell r="K45">
            <v>0</v>
          </cell>
        </row>
        <row r="46">
          <cell r="K46">
            <v>0</v>
          </cell>
        </row>
        <row r="47">
          <cell r="K47">
            <v>2.74</v>
          </cell>
        </row>
        <row r="48">
          <cell r="K48">
            <v>1.51</v>
          </cell>
        </row>
        <row r="49">
          <cell r="K49">
            <v>3.1</v>
          </cell>
        </row>
        <row r="50">
          <cell r="K50">
            <v>4.2</v>
          </cell>
        </row>
        <row r="51">
          <cell r="K51">
            <v>30.96</v>
          </cell>
        </row>
        <row r="52">
          <cell r="K52">
            <v>41.28</v>
          </cell>
        </row>
        <row r="53">
          <cell r="K53">
            <v>12.16</v>
          </cell>
        </row>
        <row r="54">
          <cell r="K54">
            <v>0</v>
          </cell>
        </row>
        <row r="55">
          <cell r="K55">
            <v>0</v>
          </cell>
        </row>
        <row r="56">
          <cell r="K56">
            <v>58.92</v>
          </cell>
        </row>
        <row r="57">
          <cell r="K57">
            <v>0</v>
          </cell>
        </row>
        <row r="58">
          <cell r="K58">
            <v>3</v>
          </cell>
        </row>
        <row r="59">
          <cell r="K59">
            <v>0</v>
          </cell>
        </row>
        <row r="60">
          <cell r="K60">
            <v>69.8</v>
          </cell>
        </row>
        <row r="61">
          <cell r="K61">
            <v>49.6</v>
          </cell>
        </row>
        <row r="62">
          <cell r="K62">
            <v>9</v>
          </cell>
        </row>
        <row r="63">
          <cell r="K63">
            <v>6</v>
          </cell>
        </row>
        <row r="64">
          <cell r="K64">
            <v>0</v>
          </cell>
        </row>
        <row r="65">
          <cell r="K65">
            <v>0</v>
          </cell>
        </row>
        <row r="66">
          <cell r="K66">
            <v>20</v>
          </cell>
        </row>
        <row r="67">
          <cell r="K67">
            <v>1</v>
          </cell>
        </row>
        <row r="68">
          <cell r="K68">
            <v>19</v>
          </cell>
        </row>
        <row r="69">
          <cell r="K69">
            <v>0</v>
          </cell>
        </row>
        <row r="70">
          <cell r="K70">
            <v>0</v>
          </cell>
        </row>
        <row r="71">
          <cell r="K71">
            <v>0</v>
          </cell>
        </row>
        <row r="72">
          <cell r="K72">
            <v>0</v>
          </cell>
        </row>
        <row r="73">
          <cell r="K73">
            <v>0</v>
          </cell>
        </row>
        <row r="74">
          <cell r="K74">
            <v>2</v>
          </cell>
        </row>
        <row r="75">
          <cell r="K75">
            <v>0</v>
          </cell>
        </row>
        <row r="76">
          <cell r="K76">
            <v>0</v>
          </cell>
        </row>
        <row r="77">
          <cell r="K77">
            <v>0</v>
          </cell>
        </row>
        <row r="78">
          <cell r="K78">
            <v>0</v>
          </cell>
        </row>
        <row r="79">
          <cell r="K79">
            <v>0</v>
          </cell>
        </row>
        <row r="80">
          <cell r="K80">
            <v>46</v>
          </cell>
        </row>
        <row r="81">
          <cell r="K81">
            <v>0</v>
          </cell>
        </row>
        <row r="82">
          <cell r="K82">
            <v>0</v>
          </cell>
        </row>
        <row r="83">
          <cell r="K83">
            <v>12.48</v>
          </cell>
        </row>
        <row r="84">
          <cell r="K84">
            <v>1</v>
          </cell>
        </row>
        <row r="85">
          <cell r="K85">
            <v>0</v>
          </cell>
        </row>
        <row r="86">
          <cell r="K86">
            <v>0</v>
          </cell>
        </row>
        <row r="87">
          <cell r="K87">
            <v>0</v>
          </cell>
        </row>
        <row r="88">
          <cell r="K88">
            <v>0</v>
          </cell>
        </row>
        <row r="89">
          <cell r="K89">
            <v>0</v>
          </cell>
        </row>
        <row r="90">
          <cell r="K90">
            <v>3.72</v>
          </cell>
        </row>
        <row r="91">
          <cell r="K91">
            <v>11.36</v>
          </cell>
        </row>
        <row r="92">
          <cell r="K92">
            <v>1728.79</v>
          </cell>
        </row>
        <row r="93">
          <cell r="K93">
            <v>0.92999999999999994</v>
          </cell>
        </row>
        <row r="94">
          <cell r="K94">
            <v>18</v>
          </cell>
        </row>
        <row r="95">
          <cell r="K95">
            <v>0</v>
          </cell>
        </row>
        <row r="96">
          <cell r="K96">
            <v>0</v>
          </cell>
        </row>
        <row r="97">
          <cell r="K97">
            <v>0</v>
          </cell>
        </row>
        <row r="98">
          <cell r="K98">
            <v>0</v>
          </cell>
        </row>
        <row r="99">
          <cell r="K99">
            <v>0</v>
          </cell>
        </row>
        <row r="100">
          <cell r="K100">
            <v>0</v>
          </cell>
        </row>
        <row r="101">
          <cell r="K101">
            <v>1</v>
          </cell>
        </row>
        <row r="102">
          <cell r="K102">
            <v>10</v>
          </cell>
        </row>
        <row r="103">
          <cell r="K103">
            <v>0</v>
          </cell>
        </row>
        <row r="104">
          <cell r="K104">
            <v>0</v>
          </cell>
        </row>
        <row r="105">
          <cell r="K105">
            <v>0</v>
          </cell>
        </row>
        <row r="106">
          <cell r="K106">
            <v>0</v>
          </cell>
        </row>
        <row r="107">
          <cell r="K107">
            <v>12</v>
          </cell>
        </row>
        <row r="108">
          <cell r="K108">
            <v>30</v>
          </cell>
        </row>
        <row r="109">
          <cell r="K109">
            <v>2800</v>
          </cell>
        </row>
        <row r="110">
          <cell r="K110">
            <v>0</v>
          </cell>
        </row>
        <row r="111">
          <cell r="K111">
            <v>0</v>
          </cell>
        </row>
        <row r="112">
          <cell r="K112">
            <v>42</v>
          </cell>
        </row>
        <row r="113">
          <cell r="K113">
            <v>84</v>
          </cell>
        </row>
        <row r="114">
          <cell r="K114">
            <v>0</v>
          </cell>
        </row>
        <row r="115">
          <cell r="K115">
            <v>0</v>
          </cell>
        </row>
        <row r="116">
          <cell r="K116">
            <v>4.3</v>
          </cell>
        </row>
        <row r="117">
          <cell r="K117">
            <v>0</v>
          </cell>
        </row>
        <row r="118">
          <cell r="K118">
            <v>0</v>
          </cell>
        </row>
        <row r="119">
          <cell r="K119">
            <v>0</v>
          </cell>
        </row>
        <row r="120">
          <cell r="K120">
            <v>4.3</v>
          </cell>
        </row>
        <row r="121">
          <cell r="K121">
            <v>357</v>
          </cell>
        </row>
        <row r="122">
          <cell r="K122">
            <v>19</v>
          </cell>
        </row>
        <row r="123">
          <cell r="K123">
            <v>0</v>
          </cell>
        </row>
        <row r="124">
          <cell r="K124">
            <v>0</v>
          </cell>
        </row>
        <row r="125">
          <cell r="K125">
            <v>100</v>
          </cell>
        </row>
        <row r="126">
          <cell r="K126">
            <v>15</v>
          </cell>
        </row>
        <row r="127">
          <cell r="K127">
            <v>40</v>
          </cell>
        </row>
        <row r="128">
          <cell r="K128">
            <v>0</v>
          </cell>
        </row>
        <row r="129">
          <cell r="K129">
            <v>0</v>
          </cell>
        </row>
        <row r="130">
          <cell r="K130">
            <v>0</v>
          </cell>
        </row>
        <row r="131">
          <cell r="K131">
            <v>0</v>
          </cell>
        </row>
        <row r="132">
          <cell r="K132">
            <v>0</v>
          </cell>
        </row>
        <row r="133">
          <cell r="K133">
            <v>6.9705000000000004</v>
          </cell>
        </row>
        <row r="134">
          <cell r="K134">
            <v>1087.5319999999999</v>
          </cell>
        </row>
        <row r="135">
          <cell r="K135">
            <v>0</v>
          </cell>
        </row>
        <row r="136">
          <cell r="K136">
            <v>0</v>
          </cell>
        </row>
        <row r="137">
          <cell r="K137">
            <v>15</v>
          </cell>
        </row>
        <row r="138">
          <cell r="K138">
            <v>0</v>
          </cell>
        </row>
        <row r="139">
          <cell r="K139">
            <v>0</v>
          </cell>
        </row>
        <row r="140">
          <cell r="K140">
            <v>1.8</v>
          </cell>
        </row>
        <row r="141">
          <cell r="K141">
            <v>1.8</v>
          </cell>
        </row>
        <row r="142">
          <cell r="K142">
            <v>4.5</v>
          </cell>
        </row>
        <row r="143">
          <cell r="K143">
            <v>0</v>
          </cell>
        </row>
        <row r="144">
          <cell r="K144">
            <v>0</v>
          </cell>
        </row>
        <row r="145">
          <cell r="K145">
            <v>0</v>
          </cell>
        </row>
        <row r="146">
          <cell r="K146">
            <v>143.6</v>
          </cell>
        </row>
        <row r="147">
          <cell r="K147">
            <v>2</v>
          </cell>
        </row>
        <row r="148">
          <cell r="K148">
            <v>3</v>
          </cell>
        </row>
        <row r="149">
          <cell r="K149">
            <v>0</v>
          </cell>
        </row>
        <row r="150">
          <cell r="K150">
            <v>0</v>
          </cell>
        </row>
        <row r="151">
          <cell r="K151">
            <v>0</v>
          </cell>
        </row>
        <row r="152">
          <cell r="K152">
            <v>0</v>
          </cell>
        </row>
        <row r="153">
          <cell r="K153">
            <v>0</v>
          </cell>
        </row>
        <row r="154">
          <cell r="K154">
            <v>53.8752</v>
          </cell>
        </row>
        <row r="155">
          <cell r="K155">
            <v>0</v>
          </cell>
        </row>
        <row r="156">
          <cell r="K156">
            <v>0</v>
          </cell>
        </row>
        <row r="157">
          <cell r="K157">
            <v>0</v>
          </cell>
        </row>
        <row r="158">
          <cell r="K158">
            <v>0</v>
          </cell>
        </row>
        <row r="159">
          <cell r="K159">
            <v>85.009999999999991</v>
          </cell>
        </row>
        <row r="160">
          <cell r="K160">
            <v>212.98000000000002</v>
          </cell>
        </row>
        <row r="161">
          <cell r="K161">
            <v>15.39</v>
          </cell>
        </row>
        <row r="162">
          <cell r="K162">
            <v>40.1</v>
          </cell>
        </row>
        <row r="163">
          <cell r="K163">
            <v>85.740000000000009</v>
          </cell>
        </row>
        <row r="164">
          <cell r="K164">
            <v>106.46</v>
          </cell>
        </row>
        <row r="165">
          <cell r="K165">
            <v>1</v>
          </cell>
        </row>
        <row r="166">
          <cell r="K166">
            <v>1</v>
          </cell>
        </row>
        <row r="167">
          <cell r="K167">
            <v>0</v>
          </cell>
        </row>
        <row r="168">
          <cell r="K168">
            <v>0</v>
          </cell>
        </row>
        <row r="169">
          <cell r="K169">
            <v>151.7672</v>
          </cell>
        </row>
        <row r="170">
          <cell r="K170">
            <v>583.34999999999991</v>
          </cell>
        </row>
        <row r="171">
          <cell r="K171">
            <v>0</v>
          </cell>
        </row>
        <row r="172">
          <cell r="K172">
            <v>0</v>
          </cell>
        </row>
        <row r="173">
          <cell r="K173">
            <v>7.3699999999999992</v>
          </cell>
        </row>
        <row r="174">
          <cell r="K174">
            <v>0</v>
          </cell>
        </row>
        <row r="175">
          <cell r="K175">
            <v>7.96</v>
          </cell>
        </row>
        <row r="176">
          <cell r="K176">
            <v>0</v>
          </cell>
        </row>
        <row r="177">
          <cell r="K177">
            <v>0</v>
          </cell>
        </row>
        <row r="178">
          <cell r="K178">
            <v>5</v>
          </cell>
        </row>
        <row r="179">
          <cell r="K179">
            <v>7</v>
          </cell>
        </row>
        <row r="180">
          <cell r="K180">
            <v>14</v>
          </cell>
        </row>
        <row r="181">
          <cell r="K181">
            <v>8</v>
          </cell>
        </row>
        <row r="182">
          <cell r="K182">
            <v>14</v>
          </cell>
        </row>
        <row r="183">
          <cell r="K183">
            <v>14</v>
          </cell>
        </row>
        <row r="184">
          <cell r="K184">
            <v>7</v>
          </cell>
        </row>
        <row r="185">
          <cell r="K185">
            <v>28</v>
          </cell>
        </row>
        <row r="186">
          <cell r="K186">
            <v>8</v>
          </cell>
        </row>
        <row r="187">
          <cell r="K187">
            <v>4</v>
          </cell>
        </row>
        <row r="188">
          <cell r="K188">
            <v>4</v>
          </cell>
        </row>
        <row r="189">
          <cell r="K189">
            <v>4</v>
          </cell>
        </row>
        <row r="190">
          <cell r="K190">
            <v>4</v>
          </cell>
        </row>
        <row r="191">
          <cell r="K191">
            <v>4</v>
          </cell>
        </row>
        <row r="192">
          <cell r="K192">
            <v>4</v>
          </cell>
        </row>
        <row r="193">
          <cell r="K193">
            <v>16</v>
          </cell>
        </row>
        <row r="194">
          <cell r="K194">
            <v>3</v>
          </cell>
        </row>
        <row r="195">
          <cell r="K195">
            <v>2</v>
          </cell>
        </row>
        <row r="196">
          <cell r="K196">
            <v>2</v>
          </cell>
        </row>
        <row r="197">
          <cell r="K197">
            <v>4</v>
          </cell>
        </row>
        <row r="198">
          <cell r="K198">
            <v>2</v>
          </cell>
        </row>
        <row r="199">
          <cell r="K199">
            <v>60</v>
          </cell>
        </row>
        <row r="200">
          <cell r="K200">
            <v>1300</v>
          </cell>
        </row>
        <row r="201">
          <cell r="K201">
            <v>2</v>
          </cell>
        </row>
        <row r="202">
          <cell r="K202">
            <v>2</v>
          </cell>
        </row>
        <row r="203">
          <cell r="K203">
            <v>4</v>
          </cell>
        </row>
        <row r="204">
          <cell r="K204">
            <v>2</v>
          </cell>
        </row>
        <row r="205">
          <cell r="K205">
            <v>8</v>
          </cell>
        </row>
        <row r="206">
          <cell r="K206">
            <v>8</v>
          </cell>
        </row>
        <row r="207">
          <cell r="K207">
            <v>2</v>
          </cell>
        </row>
        <row r="208">
          <cell r="K208">
            <v>2</v>
          </cell>
        </row>
        <row r="209">
          <cell r="K209">
            <v>1</v>
          </cell>
        </row>
        <row r="210">
          <cell r="K210">
            <v>1</v>
          </cell>
        </row>
        <row r="211">
          <cell r="K211">
            <v>2</v>
          </cell>
        </row>
        <row r="212">
          <cell r="K212">
            <v>120</v>
          </cell>
        </row>
        <row r="213">
          <cell r="K213">
            <v>6</v>
          </cell>
        </row>
        <row r="214">
          <cell r="K214">
            <v>6</v>
          </cell>
        </row>
        <row r="215">
          <cell r="K215">
            <v>2</v>
          </cell>
        </row>
        <row r="216">
          <cell r="K216">
            <v>4</v>
          </cell>
        </row>
        <row r="217">
          <cell r="K217">
            <v>2</v>
          </cell>
        </row>
        <row r="218">
          <cell r="K218">
            <v>2</v>
          </cell>
        </row>
        <row r="219">
          <cell r="K219">
            <v>2</v>
          </cell>
        </row>
        <row r="220">
          <cell r="K220">
            <v>1</v>
          </cell>
        </row>
        <row r="221">
          <cell r="K221">
            <v>4</v>
          </cell>
        </row>
        <row r="222">
          <cell r="K222">
            <v>2</v>
          </cell>
        </row>
        <row r="223">
          <cell r="K223">
            <v>1</v>
          </cell>
        </row>
        <row r="224">
          <cell r="K224">
            <v>1</v>
          </cell>
        </row>
        <row r="225">
          <cell r="K225">
            <v>1</v>
          </cell>
        </row>
        <row r="226">
          <cell r="K226">
            <v>2</v>
          </cell>
        </row>
        <row r="227">
          <cell r="K227">
            <v>5</v>
          </cell>
        </row>
        <row r="228">
          <cell r="K228">
            <v>5</v>
          </cell>
        </row>
        <row r="229">
          <cell r="K229">
            <v>0</v>
          </cell>
        </row>
        <row r="230">
          <cell r="K230">
            <v>0</v>
          </cell>
        </row>
        <row r="231">
          <cell r="K231">
            <v>101.01600000000001</v>
          </cell>
        </row>
        <row r="232">
          <cell r="K232">
            <v>69.92</v>
          </cell>
        </row>
        <row r="233">
          <cell r="K233">
            <v>61</v>
          </cell>
        </row>
        <row r="234">
          <cell r="K234">
            <v>0</v>
          </cell>
        </row>
        <row r="235">
          <cell r="K235">
            <v>0</v>
          </cell>
        </row>
        <row r="236">
          <cell r="K236">
            <v>1</v>
          </cell>
        </row>
        <row r="237">
          <cell r="K237">
            <v>1</v>
          </cell>
        </row>
        <row r="238">
          <cell r="K238">
            <v>0</v>
          </cell>
        </row>
        <row r="239">
          <cell r="K239">
            <v>0</v>
          </cell>
        </row>
        <row r="240">
          <cell r="K240">
            <v>0</v>
          </cell>
        </row>
        <row r="241">
          <cell r="K241">
            <v>0</v>
          </cell>
        </row>
        <row r="242">
          <cell r="K242">
            <v>276</v>
          </cell>
        </row>
        <row r="243">
          <cell r="K243">
            <v>276</v>
          </cell>
        </row>
        <row r="244">
          <cell r="K244">
            <v>0</v>
          </cell>
        </row>
        <row r="245">
          <cell r="K245">
            <v>0</v>
          </cell>
        </row>
        <row r="246">
          <cell r="K246">
            <v>0</v>
          </cell>
        </row>
        <row r="247">
          <cell r="K247">
            <v>276</v>
          </cell>
        </row>
        <row r="248">
          <cell r="K248">
            <v>44.16</v>
          </cell>
        </row>
        <row r="249">
          <cell r="K249">
            <v>1936.83</v>
          </cell>
        </row>
        <row r="250">
          <cell r="K250">
            <v>0</v>
          </cell>
        </row>
        <row r="251">
          <cell r="K251">
            <v>0</v>
          </cell>
        </row>
        <row r="252">
          <cell r="K252">
            <v>690</v>
          </cell>
        </row>
        <row r="253">
          <cell r="K253">
            <v>276</v>
          </cell>
        </row>
        <row r="254">
          <cell r="K254">
            <v>828</v>
          </cell>
        </row>
        <row r="255">
          <cell r="K255">
            <v>2</v>
          </cell>
        </row>
        <row r="256">
          <cell r="K256">
            <v>0</v>
          </cell>
        </row>
        <row r="257">
          <cell r="K257">
            <v>0</v>
          </cell>
        </row>
        <row r="258">
          <cell r="K258">
            <v>0</v>
          </cell>
        </row>
        <row r="259">
          <cell r="K259">
            <v>0</v>
          </cell>
        </row>
        <row r="260">
          <cell r="K260">
            <v>0</v>
          </cell>
        </row>
        <row r="261">
          <cell r="K261">
            <v>1</v>
          </cell>
        </row>
        <row r="262">
          <cell r="K262">
            <v>1</v>
          </cell>
        </row>
        <row r="263">
          <cell r="K263">
            <v>1</v>
          </cell>
        </row>
        <row r="264">
          <cell r="K264">
            <v>1</v>
          </cell>
        </row>
        <row r="265">
          <cell r="K265">
            <v>1</v>
          </cell>
        </row>
        <row r="266">
          <cell r="K266">
            <v>1</v>
          </cell>
        </row>
        <row r="267">
          <cell r="K267">
            <v>1</v>
          </cell>
        </row>
        <row r="268">
          <cell r="K268">
            <v>0</v>
          </cell>
        </row>
        <row r="271">
          <cell r="K271">
            <v>16</v>
          </cell>
        </row>
        <row r="272">
          <cell r="K272">
            <v>21</v>
          </cell>
        </row>
        <row r="273">
          <cell r="K273">
            <v>2</v>
          </cell>
        </row>
        <row r="274">
          <cell r="K274">
            <v>8</v>
          </cell>
        </row>
        <row r="275">
          <cell r="K275">
            <v>2</v>
          </cell>
        </row>
        <row r="276">
          <cell r="K276">
            <v>2</v>
          </cell>
        </row>
        <row r="277">
          <cell r="K277">
            <v>2</v>
          </cell>
        </row>
        <row r="278">
          <cell r="K278">
            <v>12</v>
          </cell>
        </row>
        <row r="279">
          <cell r="K279">
            <v>3</v>
          </cell>
        </row>
        <row r="280">
          <cell r="K280">
            <v>4.84</v>
          </cell>
        </row>
        <row r="281">
          <cell r="K281">
            <v>2</v>
          </cell>
        </row>
        <row r="282">
          <cell r="K282">
            <v>17</v>
          </cell>
        </row>
        <row r="283">
          <cell r="K283">
            <v>4</v>
          </cell>
        </row>
        <row r="284">
          <cell r="K284">
            <v>6.4</v>
          </cell>
        </row>
        <row r="285">
          <cell r="K285">
            <v>296.98</v>
          </cell>
        </row>
        <row r="286">
          <cell r="K286">
            <v>7.96</v>
          </cell>
        </row>
        <row r="287">
          <cell r="K287">
            <v>13.2</v>
          </cell>
        </row>
        <row r="288">
          <cell r="K288">
            <v>194.36</v>
          </cell>
        </row>
        <row r="289">
          <cell r="K289">
            <v>194.36</v>
          </cell>
        </row>
        <row r="290">
          <cell r="K290">
            <v>194.36</v>
          </cell>
        </row>
        <row r="291">
          <cell r="I291">
            <v>276</v>
          </cell>
        </row>
        <row r="292">
          <cell r="I292">
            <v>1</v>
          </cell>
        </row>
        <row r="293">
          <cell r="I293">
            <v>2</v>
          </cell>
        </row>
        <row r="294">
          <cell r="I294">
            <v>1</v>
          </cell>
        </row>
        <row r="295">
          <cell r="I295">
            <v>1</v>
          </cell>
        </row>
        <row r="296">
          <cell r="I296">
            <v>55</v>
          </cell>
        </row>
        <row r="297">
          <cell r="I297">
            <v>1</v>
          </cell>
        </row>
        <row r="298">
          <cell r="I298">
            <v>1</v>
          </cell>
        </row>
        <row r="299">
          <cell r="I299">
            <v>2</v>
          </cell>
        </row>
        <row r="300">
          <cell r="I300">
            <v>1</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A 1"/>
      <sheetName val="ACTA 2 "/>
      <sheetName val="ACTA 3"/>
      <sheetName val="ACTA 4"/>
      <sheetName val="ACTA XXX "/>
      <sheetName val="BALANCE"/>
      <sheetName val="ACTA 5"/>
      <sheetName val="ACTA 6  Y FINAL"/>
      <sheetName val="BALANCE 2"/>
      <sheetName val="REPORTE CONSOLIDADO"/>
      <sheetName val="REPORTE CONSOLIDADO (2)"/>
      <sheetName val="6A.2.22 TEE 12&quot;X12&quot;X12&quot; AC"/>
      <sheetName val="6A.2.40 MALLA ELECTROSOLDADA"/>
      <sheetName val="6A.1.5 TRANSPORTE ROCA"/>
      <sheetName val="6A.2.39 CODO HD 22,5° 12&quot;"/>
      <sheetName val="6A.2.38 UNION RÁPIDA 8&quot;"/>
      <sheetName val="6A.3.35 TUBERÍA PVC 12&quot;RDE 21"/>
      <sheetName val="6A.3.36 REDUCCIÓN 12&quot;X8&quot; HD EL"/>
      <sheetName val="6A.2.33 BRIDA PVC PRESION 2&quot;"/>
      <sheetName val="6A.2.32 NIPLE PVC 15 CM PVC 2&quot;"/>
      <sheetName val="6A.2.31 ADAPTADOR MACHO 2&quot;"/>
      <sheetName val="6A.2.30 COLLAR 12&quot; X 2&quot; PVC HD"/>
      <sheetName val="6A.2.29 CODO HD 45 8&quot;"/>
      <sheetName val="6A.2.28 CODO HD 45° 10&quot;"/>
      <sheetName val="6A.2.27 CODO 22,5 HD 10&quot;"/>
      <sheetName val="6A.2.23 TEE 8&quot;X 8&quot; EL"/>
      <sheetName val="6A.2.21 Union rápida 12&quot;"/>
      <sheetName val="6A.2.24 TUBERÍA PVC 10&quot;RDE 41"/>
      <sheetName val="6A.2.25 TUBERÍA PVC 8&quot;RDE 26"/>
    </sheetNames>
    <sheetDataSet>
      <sheetData sheetId="0"/>
      <sheetData sheetId="1"/>
      <sheetData sheetId="2"/>
      <sheetData sheetId="3"/>
      <sheetData sheetId="4"/>
      <sheetData sheetId="5"/>
      <sheetData sheetId="6"/>
      <sheetData sheetId="7">
        <row r="347">
          <cell r="O347">
            <v>2847169268</v>
          </cell>
        </row>
        <row r="348">
          <cell r="O348">
            <v>699907877</v>
          </cell>
        </row>
      </sheetData>
      <sheetData sheetId="8"/>
      <sheetData sheetId="9">
        <row r="16">
          <cell r="G16">
            <v>1378607355</v>
          </cell>
        </row>
        <row r="17">
          <cell r="G17">
            <v>892501558</v>
          </cell>
        </row>
        <row r="18">
          <cell r="G18">
            <v>236395841</v>
          </cell>
        </row>
        <row r="19">
          <cell r="G19">
            <v>515370732</v>
          </cell>
        </row>
        <row r="20">
          <cell r="G20">
            <v>169466079</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1.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R203"/>
  <sheetViews>
    <sheetView view="pageBreakPreview" zoomScale="160" zoomScaleNormal="100" zoomScaleSheetLayoutView="160" workbookViewId="0">
      <selection activeCell="B3" sqref="B3:K3"/>
    </sheetView>
  </sheetViews>
  <sheetFormatPr baseColWidth="10" defaultColWidth="11.5703125" defaultRowHeight="15.75"/>
  <cols>
    <col min="1" max="1" width="6.7109375" style="1" customWidth="1"/>
    <col min="2" max="2" width="13.7109375" style="1" customWidth="1"/>
    <col min="3" max="3" width="34.42578125" style="1" customWidth="1"/>
    <col min="4" max="4" width="0.85546875" style="1" customWidth="1"/>
    <col min="5" max="5" width="15.7109375" style="1" customWidth="1"/>
    <col min="6" max="6" width="0.85546875" style="1" customWidth="1"/>
    <col min="7" max="7" width="30.7109375" style="1" customWidth="1"/>
    <col min="8" max="8" width="0.85546875" style="1" customWidth="1"/>
    <col min="9" max="9" width="20.7109375" style="1" customWidth="1"/>
    <col min="10" max="10" width="2" style="1" bestFit="1" customWidth="1"/>
    <col min="11" max="11" width="13.7109375" style="1" customWidth="1"/>
    <col min="12" max="12" width="6.7109375" style="1" customWidth="1"/>
    <col min="13" max="13" width="23.28515625" style="1" customWidth="1"/>
    <col min="14" max="16384" width="11.5703125" style="1"/>
  </cols>
  <sheetData>
    <row r="1" spans="1:13" ht="31.9" customHeight="1" thickBot="1">
      <c r="A1" s="2"/>
      <c r="B1" s="2"/>
      <c r="C1" s="2"/>
      <c r="D1" s="2"/>
      <c r="E1" s="2"/>
      <c r="F1" s="2"/>
      <c r="G1" s="2"/>
      <c r="H1" s="2"/>
      <c r="I1" s="2"/>
      <c r="J1" s="2"/>
      <c r="K1" s="2"/>
      <c r="L1" s="2"/>
      <c r="M1" s="317"/>
    </row>
    <row r="2" spans="1:13" ht="23.45" customHeight="1">
      <c r="A2" s="2"/>
      <c r="B2" s="922"/>
      <c r="C2" s="923"/>
      <c r="D2" s="923"/>
      <c r="E2" s="923"/>
      <c r="F2" s="923"/>
      <c r="G2" s="923"/>
      <c r="H2" s="923"/>
      <c r="I2" s="923"/>
      <c r="J2" s="923"/>
      <c r="K2" s="924"/>
      <c r="L2" s="2"/>
      <c r="M2" s="317"/>
    </row>
    <row r="3" spans="1:13" ht="25.15" customHeight="1">
      <c r="A3" s="2"/>
      <c r="B3" s="933" t="s">
        <v>79</v>
      </c>
      <c r="C3" s="934"/>
      <c r="D3" s="934"/>
      <c r="E3" s="934"/>
      <c r="F3" s="934"/>
      <c r="G3" s="934"/>
      <c r="H3" s="934"/>
      <c r="I3" s="934"/>
      <c r="J3" s="934"/>
      <c r="K3" s="935"/>
      <c r="L3" s="2"/>
      <c r="M3" s="317"/>
    </row>
    <row r="4" spans="1:13" ht="16.899999999999999" customHeight="1">
      <c r="A4" s="2"/>
      <c r="B4" s="925" t="s">
        <v>16</v>
      </c>
      <c r="C4" s="915"/>
      <c r="D4" s="915"/>
      <c r="E4" s="915"/>
      <c r="F4" s="915"/>
      <c r="G4" s="915"/>
      <c r="H4" s="915"/>
      <c r="I4" s="915"/>
      <c r="J4" s="915"/>
      <c r="K4" s="926"/>
      <c r="L4" s="2"/>
      <c r="M4" s="317"/>
    </row>
    <row r="5" spans="1:13" ht="13.9" customHeight="1">
      <c r="A5" s="2"/>
      <c r="B5" s="927" t="s">
        <v>183</v>
      </c>
      <c r="C5" s="928"/>
      <c r="D5" s="928"/>
      <c r="E5" s="928"/>
      <c r="F5" s="928"/>
      <c r="G5" s="928"/>
      <c r="H5" s="928"/>
      <c r="I5" s="928"/>
      <c r="J5" s="928"/>
      <c r="K5" s="929"/>
      <c r="L5" s="2"/>
      <c r="M5" s="317"/>
    </row>
    <row r="6" spans="1:13" ht="24.6" customHeight="1">
      <c r="A6" s="2"/>
      <c r="B6" s="3"/>
      <c r="C6" s="4"/>
      <c r="D6" s="4"/>
      <c r="E6" s="4"/>
      <c r="F6" s="4"/>
      <c r="G6" s="4"/>
      <c r="H6" s="4"/>
      <c r="I6" s="4"/>
      <c r="J6" s="4"/>
      <c r="K6" s="5"/>
      <c r="L6" s="2"/>
      <c r="M6" s="317"/>
    </row>
    <row r="7" spans="1:13" ht="30" customHeight="1">
      <c r="A7" s="2"/>
      <c r="B7" s="930" t="s">
        <v>0</v>
      </c>
      <c r="C7" s="931"/>
      <c r="D7" s="931"/>
      <c r="E7" s="931"/>
      <c r="F7" s="931"/>
      <c r="G7" s="931"/>
      <c r="H7" s="931"/>
      <c r="I7" s="931"/>
      <c r="J7" s="931"/>
      <c r="K7" s="932"/>
      <c r="L7" s="2"/>
      <c r="M7" s="317"/>
    </row>
    <row r="8" spans="1:13">
      <c r="A8" s="2"/>
      <c r="B8" s="3"/>
      <c r="C8" s="6" t="s">
        <v>190</v>
      </c>
      <c r="D8" s="2"/>
      <c r="E8" s="909"/>
      <c r="F8" s="910"/>
      <c r="G8" s="910"/>
      <c r="H8" s="910"/>
      <c r="I8" s="911"/>
      <c r="J8" s="2"/>
      <c r="K8" s="5"/>
      <c r="L8" s="2"/>
      <c r="M8" s="317"/>
    </row>
    <row r="9" spans="1:13" ht="3" customHeight="1">
      <c r="A9" s="2"/>
      <c r="B9" s="3"/>
      <c r="C9" s="4"/>
      <c r="D9" s="4"/>
      <c r="E9" s="4"/>
      <c r="F9" s="4"/>
      <c r="G9" s="4"/>
      <c r="H9" s="4"/>
      <c r="I9" s="4"/>
      <c r="J9" s="4"/>
      <c r="K9" s="5"/>
      <c r="L9" s="2"/>
      <c r="M9" s="317"/>
    </row>
    <row r="10" spans="1:13" ht="15" customHeight="1">
      <c r="A10" s="2"/>
      <c r="B10" s="3"/>
      <c r="C10" s="6" t="s">
        <v>1</v>
      </c>
      <c r="D10" s="6"/>
      <c r="E10" s="909"/>
      <c r="F10" s="910"/>
      <c r="G10" s="910"/>
      <c r="H10" s="910"/>
      <c r="I10" s="911"/>
      <c r="J10" s="4"/>
      <c r="K10" s="5"/>
      <c r="L10" s="2"/>
      <c r="M10" s="317"/>
    </row>
    <row r="11" spans="1:13" ht="3" customHeight="1">
      <c r="A11" s="2"/>
      <c r="B11" s="3"/>
      <c r="C11" s="6"/>
      <c r="D11" s="6"/>
      <c r="E11" s="29"/>
      <c r="F11" s="29"/>
      <c r="G11" s="29"/>
      <c r="H11" s="29"/>
      <c r="I11" s="29"/>
      <c r="J11" s="4"/>
      <c r="K11" s="5"/>
      <c r="L11" s="2"/>
      <c r="M11" s="317"/>
    </row>
    <row r="12" spans="1:13" ht="15" customHeight="1">
      <c r="A12" s="2"/>
      <c r="B12" s="3"/>
      <c r="C12" s="6" t="s">
        <v>2</v>
      </c>
      <c r="D12" s="6"/>
      <c r="E12" s="35"/>
      <c r="F12" s="29"/>
      <c r="G12" s="35"/>
      <c r="H12" s="29"/>
      <c r="I12" s="35"/>
      <c r="J12" s="4"/>
      <c r="K12" s="5"/>
      <c r="L12" s="2"/>
      <c r="M12" s="317"/>
    </row>
    <row r="13" spans="1:13" ht="3" customHeight="1">
      <c r="A13" s="2"/>
      <c r="B13" s="3"/>
      <c r="C13" s="6"/>
      <c r="D13" s="6"/>
      <c r="E13" s="30"/>
      <c r="F13" s="30"/>
      <c r="G13" s="30"/>
      <c r="H13" s="30"/>
      <c r="I13" s="30"/>
      <c r="J13" s="4"/>
      <c r="K13" s="5"/>
      <c r="L13" s="2"/>
      <c r="M13" s="317"/>
    </row>
    <row r="14" spans="1:13" ht="15" customHeight="1">
      <c r="A14" s="2"/>
      <c r="B14" s="3"/>
      <c r="C14" s="6" t="s">
        <v>3</v>
      </c>
      <c r="D14" s="6"/>
      <c r="E14" s="906"/>
      <c r="F14" s="907"/>
      <c r="G14" s="907"/>
      <c r="H14" s="907"/>
      <c r="I14" s="908"/>
      <c r="J14" s="4"/>
      <c r="K14" s="5"/>
      <c r="L14" s="2"/>
      <c r="M14" s="317"/>
    </row>
    <row r="15" spans="1:13" ht="3" customHeight="1">
      <c r="A15" s="2"/>
      <c r="B15" s="3"/>
      <c r="C15" s="6"/>
      <c r="D15" s="6"/>
      <c r="E15" s="30"/>
      <c r="F15" s="30"/>
      <c r="G15" s="30"/>
      <c r="H15" s="30"/>
      <c r="I15" s="30"/>
      <c r="J15" s="4"/>
      <c r="K15" s="5"/>
      <c r="L15" s="2"/>
      <c r="M15" s="317"/>
    </row>
    <row r="16" spans="1:13" ht="15" customHeight="1">
      <c r="A16" s="2"/>
      <c r="B16" s="3"/>
      <c r="C16" s="6" t="s">
        <v>4</v>
      </c>
      <c r="D16" s="6"/>
      <c r="E16" s="49"/>
      <c r="F16" s="47"/>
      <c r="G16" s="909"/>
      <c r="H16" s="910"/>
      <c r="I16" s="911"/>
      <c r="J16" s="4"/>
      <c r="K16" s="5"/>
      <c r="L16" s="2"/>
      <c r="M16" s="895" t="str">
        <f>IF(OR(E16="Doctor",E16="Ingeniero",E16="Señor"),"el","la")</f>
        <v>la</v>
      </c>
    </row>
    <row r="17" spans="1:13" ht="3" customHeight="1">
      <c r="A17" s="2"/>
      <c r="B17" s="3"/>
      <c r="C17" s="6"/>
      <c r="D17" s="6"/>
      <c r="E17" s="29"/>
      <c r="F17" s="29"/>
      <c r="G17" s="29"/>
      <c r="H17" s="29"/>
      <c r="I17" s="29"/>
      <c r="J17" s="4"/>
      <c r="K17" s="5"/>
      <c r="L17" s="2"/>
      <c r="M17" s="327"/>
    </row>
    <row r="18" spans="1:13" ht="15" customHeight="1">
      <c r="A18" s="2"/>
      <c r="B18" s="3"/>
      <c r="C18" s="6" t="s">
        <v>95</v>
      </c>
      <c r="D18" s="6"/>
      <c r="E18" s="829"/>
      <c r="F18" s="830"/>
      <c r="G18" s="830"/>
      <c r="H18" s="830"/>
      <c r="I18" s="831"/>
      <c r="J18" s="4"/>
      <c r="K18" s="5"/>
      <c r="L18" s="2"/>
      <c r="M18" s="327"/>
    </row>
    <row r="19" spans="1:13" ht="3" customHeight="1">
      <c r="A19" s="2"/>
      <c r="B19" s="3"/>
      <c r="C19" s="6"/>
      <c r="D19" s="6"/>
      <c r="E19" s="30"/>
      <c r="F19" s="30"/>
      <c r="G19" s="30"/>
      <c r="H19" s="30"/>
      <c r="I19" s="30"/>
      <c r="J19" s="4"/>
      <c r="K19" s="5"/>
      <c r="L19" s="2"/>
      <c r="M19" s="327"/>
    </row>
    <row r="20" spans="1:13" ht="15" customHeight="1">
      <c r="A20" s="2"/>
      <c r="B20" s="3"/>
      <c r="C20" s="6" t="s">
        <v>5</v>
      </c>
      <c r="D20" s="6"/>
      <c r="E20" s="49"/>
      <c r="F20" s="47"/>
      <c r="G20" s="909"/>
      <c r="H20" s="910"/>
      <c r="I20" s="911"/>
      <c r="J20" s="4"/>
      <c r="K20" s="5"/>
      <c r="L20" s="2"/>
      <c r="M20" s="896" t="str">
        <f>IF(OR(E20="Doctor",E20="Ingeniero",E20="Señor"),"el","la")</f>
        <v>la</v>
      </c>
    </row>
    <row r="21" spans="1:13" ht="3" customHeight="1">
      <c r="A21" s="2"/>
      <c r="B21" s="3"/>
      <c r="C21" s="6"/>
      <c r="D21" s="6"/>
      <c r="E21" s="30"/>
      <c r="F21" s="30"/>
      <c r="G21" s="30"/>
      <c r="H21" s="30"/>
      <c r="I21" s="30"/>
      <c r="J21" s="4"/>
      <c r="K21" s="5"/>
      <c r="L21" s="2"/>
      <c r="M21" s="327"/>
    </row>
    <row r="22" spans="1:13" ht="15" customHeight="1">
      <c r="A22" s="2"/>
      <c r="B22" s="3"/>
      <c r="C22" s="6" t="s">
        <v>6</v>
      </c>
      <c r="D22" s="6"/>
      <c r="E22" s="909"/>
      <c r="F22" s="910"/>
      <c r="G22" s="910"/>
      <c r="H22" s="910"/>
      <c r="I22" s="911"/>
      <c r="J22" s="4"/>
      <c r="K22" s="5"/>
      <c r="L22" s="2"/>
      <c r="M22" s="327"/>
    </row>
    <row r="23" spans="1:13" ht="3" customHeight="1">
      <c r="A23" s="2"/>
      <c r="B23" s="3"/>
      <c r="C23" s="6"/>
      <c r="D23" s="6"/>
      <c r="E23" s="30"/>
      <c r="F23" s="30"/>
      <c r="G23" s="30"/>
      <c r="H23" s="30"/>
      <c r="I23" s="30"/>
      <c r="J23" s="4"/>
      <c r="K23" s="5"/>
      <c r="L23" s="2"/>
      <c r="M23" s="327"/>
    </row>
    <row r="24" spans="1:13" ht="15" customHeight="1">
      <c r="A24" s="2"/>
      <c r="B24" s="3"/>
      <c r="C24" s="6" t="s">
        <v>105</v>
      </c>
      <c r="D24" s="6"/>
      <c r="E24" s="49"/>
      <c r="F24" s="47"/>
      <c r="G24" s="909"/>
      <c r="H24" s="910"/>
      <c r="I24" s="911"/>
      <c r="J24" s="4"/>
      <c r="K24" s="5"/>
      <c r="L24" s="2"/>
      <c r="M24" s="896" t="str">
        <f>IF(OR(E24="Doctor",E24="Ingeniero",E24="Señor"),"el","la")</f>
        <v>la</v>
      </c>
    </row>
    <row r="25" spans="1:13" ht="3" customHeight="1">
      <c r="A25" s="2"/>
      <c r="B25" s="3"/>
      <c r="C25" s="6"/>
      <c r="D25" s="6"/>
      <c r="E25" s="29"/>
      <c r="F25" s="29"/>
      <c r="G25" s="29"/>
      <c r="H25" s="29"/>
      <c r="I25" s="29"/>
      <c r="J25" s="4"/>
      <c r="K25" s="5"/>
      <c r="L25" s="2"/>
      <c r="M25" s="327"/>
    </row>
    <row r="26" spans="1:13" ht="15" customHeight="1">
      <c r="A26" s="2"/>
      <c r="B26" s="3"/>
      <c r="C26" s="6" t="s">
        <v>95</v>
      </c>
      <c r="D26" s="6"/>
      <c r="E26" s="937"/>
      <c r="F26" s="938"/>
      <c r="G26" s="938"/>
      <c r="H26" s="938"/>
      <c r="I26" s="939"/>
      <c r="J26" s="4"/>
      <c r="K26" s="5"/>
      <c r="L26" s="2"/>
      <c r="M26" s="326"/>
    </row>
    <row r="27" spans="1:13" ht="3" customHeight="1">
      <c r="A27" s="2"/>
      <c r="B27" s="3"/>
      <c r="C27" s="6"/>
      <c r="D27" s="6"/>
      <c r="E27" s="45"/>
      <c r="F27" s="29"/>
      <c r="G27" s="29"/>
      <c r="H27" s="29"/>
      <c r="I27" s="48"/>
      <c r="J27" s="4"/>
      <c r="K27" s="5"/>
      <c r="L27" s="2"/>
      <c r="M27" s="327"/>
    </row>
    <row r="28" spans="1:13" ht="15" customHeight="1">
      <c r="A28" s="2"/>
      <c r="B28" s="3"/>
      <c r="C28" s="6" t="s">
        <v>5</v>
      </c>
      <c r="D28" s="6"/>
      <c r="E28" s="49"/>
      <c r="F28" s="47"/>
      <c r="G28" s="909"/>
      <c r="H28" s="910"/>
      <c r="I28" s="911"/>
      <c r="J28" s="4"/>
      <c r="K28" s="5"/>
      <c r="L28" s="2"/>
      <c r="M28" s="896" t="str">
        <f>IF(OR(E28="Doctor",E28="Ingeniero",E28="Señor"),"el","la")</f>
        <v>la</v>
      </c>
    </row>
    <row r="29" spans="1:13" ht="3" customHeight="1">
      <c r="A29" s="2"/>
      <c r="B29" s="3"/>
      <c r="C29" s="6"/>
      <c r="D29" s="6"/>
      <c r="E29" s="30"/>
      <c r="F29" s="30"/>
      <c r="G29" s="30"/>
      <c r="H29" s="30"/>
      <c r="I29" s="30"/>
      <c r="J29" s="4"/>
      <c r="K29" s="5"/>
      <c r="L29" s="2"/>
      <c r="M29" s="326"/>
    </row>
    <row r="30" spans="1:13" ht="15" customHeight="1">
      <c r="A30" s="2"/>
      <c r="B30" s="3"/>
      <c r="C30" s="6" t="s">
        <v>106</v>
      </c>
      <c r="D30" s="6"/>
      <c r="E30" s="49"/>
      <c r="F30" s="47"/>
      <c r="G30" s="909"/>
      <c r="H30" s="910"/>
      <c r="I30" s="911"/>
      <c r="J30" s="4"/>
      <c r="K30" s="5"/>
      <c r="L30" s="2"/>
      <c r="M30" s="326" t="str">
        <f>IF(OR(E30="Doctor",E30="Ingeniero",E30="Señor"),"el","la")</f>
        <v>la</v>
      </c>
    </row>
    <row r="31" spans="1:13" ht="3" customHeight="1">
      <c r="A31" s="2"/>
      <c r="B31" s="3"/>
      <c r="C31" s="6"/>
      <c r="D31" s="6"/>
      <c r="E31" s="29"/>
      <c r="F31" s="29"/>
      <c r="G31" s="29"/>
      <c r="H31" s="29"/>
      <c r="I31" s="29"/>
      <c r="J31" s="4"/>
      <c r="K31" s="5"/>
      <c r="L31" s="2"/>
      <c r="M31" s="327"/>
    </row>
    <row r="32" spans="1:13" ht="15" customHeight="1">
      <c r="A32" s="2"/>
      <c r="B32" s="3"/>
      <c r="C32" s="6" t="s">
        <v>95</v>
      </c>
      <c r="D32" s="6"/>
      <c r="E32" s="936"/>
      <c r="F32" s="910"/>
      <c r="G32" s="910"/>
      <c r="H32" s="910"/>
      <c r="I32" s="911"/>
      <c r="J32" s="4"/>
      <c r="K32" s="5"/>
      <c r="L32" s="2"/>
      <c r="M32" s="327"/>
    </row>
    <row r="33" spans="1:13" ht="3" customHeight="1">
      <c r="A33" s="2"/>
      <c r="B33" s="3"/>
      <c r="C33" s="6"/>
      <c r="D33" s="6"/>
      <c r="E33" s="29"/>
      <c r="F33" s="29"/>
      <c r="G33" s="29"/>
      <c r="H33" s="29"/>
      <c r="I33" s="29"/>
      <c r="J33" s="4"/>
      <c r="K33" s="5"/>
      <c r="L33" s="2"/>
      <c r="M33" s="327"/>
    </row>
    <row r="34" spans="1:13">
      <c r="A34" s="2"/>
      <c r="B34" s="3"/>
      <c r="C34" s="6" t="s">
        <v>7</v>
      </c>
      <c r="D34" s="6"/>
      <c r="E34" s="909"/>
      <c r="F34" s="910"/>
      <c r="G34" s="910"/>
      <c r="H34" s="910"/>
      <c r="I34" s="911"/>
      <c r="J34" s="4"/>
      <c r="K34" s="5"/>
      <c r="L34" s="2"/>
      <c r="M34" s="327"/>
    </row>
    <row r="35" spans="1:13" ht="3" customHeight="1">
      <c r="A35" s="2"/>
      <c r="B35" s="3"/>
      <c r="C35" s="6"/>
      <c r="D35" s="6"/>
      <c r="E35" s="29"/>
      <c r="F35" s="29"/>
      <c r="G35" s="29"/>
      <c r="H35" s="29"/>
      <c r="I35" s="29"/>
      <c r="J35" s="4"/>
      <c r="K35" s="5"/>
      <c r="L35" s="2"/>
      <c r="M35" s="327"/>
    </row>
    <row r="36" spans="1:13" ht="15" customHeight="1">
      <c r="A36" s="2"/>
      <c r="B36" s="3"/>
      <c r="C36" s="6" t="s">
        <v>275</v>
      </c>
      <c r="D36" s="6"/>
      <c r="E36" s="909"/>
      <c r="F36" s="910"/>
      <c r="G36" s="910"/>
      <c r="H36" s="910"/>
      <c r="I36" s="911"/>
      <c r="J36" s="4"/>
      <c r="K36" s="5"/>
      <c r="L36" s="2"/>
      <c r="M36" s="327"/>
    </row>
    <row r="37" spans="1:13" ht="3" customHeight="1">
      <c r="A37" s="2"/>
      <c r="B37" s="3"/>
      <c r="C37" s="6"/>
      <c r="D37" s="6"/>
      <c r="E37" s="30"/>
      <c r="F37" s="30"/>
      <c r="G37" s="30"/>
      <c r="H37" s="30"/>
      <c r="I37" s="30"/>
      <c r="J37" s="4"/>
      <c r="K37" s="5"/>
      <c r="L37" s="2"/>
      <c r="M37" s="327"/>
    </row>
    <row r="38" spans="1:13" ht="87.6" customHeight="1">
      <c r="A38" s="2"/>
      <c r="B38" s="3"/>
      <c r="C38" s="12" t="s">
        <v>8</v>
      </c>
      <c r="D38" s="6"/>
      <c r="E38" s="940"/>
      <c r="F38" s="941"/>
      <c r="G38" s="941"/>
      <c r="H38" s="941"/>
      <c r="I38" s="942"/>
      <c r="J38" s="4"/>
      <c r="K38" s="5"/>
      <c r="L38" s="2"/>
      <c r="M38" s="327"/>
    </row>
    <row r="39" spans="1:13" ht="3" customHeight="1">
      <c r="A39" s="2"/>
      <c r="B39" s="3"/>
      <c r="C39" s="6"/>
      <c r="D39" s="6"/>
      <c r="E39" s="30"/>
      <c r="F39" s="30"/>
      <c r="G39" s="30"/>
      <c r="H39" s="30"/>
      <c r="I39" s="30"/>
      <c r="J39" s="4"/>
      <c r="K39" s="5"/>
      <c r="L39" s="2"/>
      <c r="M39" s="327"/>
    </row>
    <row r="40" spans="1:13" ht="15" customHeight="1">
      <c r="A40" s="2"/>
      <c r="B40" s="3"/>
      <c r="C40" s="6" t="s">
        <v>9</v>
      </c>
      <c r="D40" s="6"/>
      <c r="E40" s="909"/>
      <c r="F40" s="910"/>
      <c r="G40" s="910"/>
      <c r="H40" s="910"/>
      <c r="I40" s="911"/>
      <c r="J40" s="4"/>
      <c r="K40" s="5"/>
      <c r="L40" s="2"/>
      <c r="M40" s="327"/>
    </row>
    <row r="41" spans="1:13" ht="3" customHeight="1">
      <c r="A41" s="2"/>
      <c r="B41" s="3"/>
      <c r="C41" s="6"/>
      <c r="D41" s="6"/>
      <c r="E41" s="30"/>
      <c r="F41" s="30"/>
      <c r="G41" s="30"/>
      <c r="H41" s="30"/>
      <c r="I41" s="30"/>
      <c r="J41" s="4"/>
      <c r="K41" s="5"/>
      <c r="L41" s="2"/>
      <c r="M41" s="327"/>
    </row>
    <row r="42" spans="1:13" ht="15" customHeight="1">
      <c r="A42" s="2"/>
      <c r="B42" s="3"/>
      <c r="C42" s="6" t="s">
        <v>10</v>
      </c>
      <c r="D42" s="6"/>
      <c r="E42" s="909"/>
      <c r="F42" s="910"/>
      <c r="G42" s="910"/>
      <c r="H42" s="910"/>
      <c r="I42" s="911"/>
      <c r="J42" s="4"/>
      <c r="K42" s="5"/>
      <c r="L42" s="2"/>
      <c r="M42" s="327"/>
    </row>
    <row r="43" spans="1:13" ht="3" customHeight="1">
      <c r="A43" s="2"/>
      <c r="B43" s="3"/>
      <c r="C43" s="6"/>
      <c r="D43" s="6"/>
      <c r="E43" s="4"/>
      <c r="F43" s="4"/>
      <c r="G43" s="4"/>
      <c r="H43" s="4"/>
      <c r="I43" s="4"/>
      <c r="J43" s="4"/>
      <c r="K43" s="5"/>
      <c r="L43" s="2"/>
      <c r="M43" s="327"/>
    </row>
    <row r="44" spans="1:13" ht="15" customHeight="1">
      <c r="A44" s="2"/>
      <c r="B44" s="3"/>
      <c r="C44" s="6" t="s">
        <v>11</v>
      </c>
      <c r="D44" s="6"/>
      <c r="E44" s="31"/>
      <c r="F44" s="46" t="s">
        <v>103</v>
      </c>
      <c r="G44" s="946"/>
      <c r="H44" s="947"/>
      <c r="I44" s="948"/>
      <c r="J44" s="4"/>
      <c r="K44" s="5"/>
      <c r="L44" s="2"/>
      <c r="M44" s="327"/>
    </row>
    <row r="45" spans="1:13" ht="3" customHeight="1">
      <c r="A45" s="2"/>
      <c r="B45" s="3"/>
      <c r="C45" s="6"/>
      <c r="D45" s="6"/>
      <c r="E45" s="30"/>
      <c r="F45" s="30"/>
      <c r="G45" s="30"/>
      <c r="H45" s="30"/>
      <c r="I45" s="30"/>
      <c r="J45" s="4"/>
      <c r="K45" s="5"/>
      <c r="L45" s="2"/>
      <c r="M45" s="327"/>
    </row>
    <row r="46" spans="1:13" ht="15" customHeight="1">
      <c r="A46" s="2"/>
      <c r="B46" s="3"/>
      <c r="C46" s="6" t="s">
        <v>12</v>
      </c>
      <c r="D46" s="6"/>
      <c r="E46" s="949"/>
      <c r="F46" s="950"/>
      <c r="G46" s="950"/>
      <c r="H46" s="950"/>
      <c r="I46" s="951"/>
      <c r="J46" s="4"/>
      <c r="K46" s="5"/>
      <c r="L46" s="2"/>
      <c r="M46" s="327"/>
    </row>
    <row r="47" spans="1:13" ht="3" customHeight="1">
      <c r="A47" s="2"/>
      <c r="B47" s="3"/>
      <c r="C47" s="6"/>
      <c r="D47" s="6"/>
      <c r="E47" s="30"/>
      <c r="F47" s="30"/>
      <c r="G47" s="30"/>
      <c r="H47" s="30"/>
      <c r="I47" s="30"/>
      <c r="J47" s="4"/>
      <c r="K47" s="5"/>
      <c r="L47" s="2"/>
      <c r="M47" s="327"/>
    </row>
    <row r="48" spans="1:13" ht="15" customHeight="1">
      <c r="A48" s="2"/>
      <c r="B48" s="3"/>
      <c r="C48" s="6" t="s">
        <v>13</v>
      </c>
      <c r="D48" s="6"/>
      <c r="E48" s="952"/>
      <c r="F48" s="953"/>
      <c r="G48" s="954"/>
      <c r="H48" s="30"/>
      <c r="I48" s="32"/>
      <c r="J48" s="4"/>
      <c r="K48" s="5"/>
      <c r="L48" s="2"/>
      <c r="M48" s="327"/>
    </row>
    <row r="49" spans="1:18" ht="3" customHeight="1">
      <c r="A49" s="2"/>
      <c r="B49" s="3"/>
      <c r="C49" s="6"/>
      <c r="D49" s="6"/>
      <c r="E49" s="30"/>
      <c r="F49" s="30"/>
      <c r="G49" s="30"/>
      <c r="H49" s="30"/>
      <c r="I49" s="30"/>
      <c r="J49" s="4"/>
      <c r="K49" s="5"/>
      <c r="L49" s="2"/>
      <c r="M49" s="327"/>
    </row>
    <row r="50" spans="1:18" ht="15" customHeight="1">
      <c r="A50" s="2"/>
      <c r="B50" s="3"/>
      <c r="C50" s="6" t="s">
        <v>14</v>
      </c>
      <c r="D50" s="6"/>
      <c r="E50" s="906"/>
      <c r="F50" s="907"/>
      <c r="G50" s="907"/>
      <c r="H50" s="907"/>
      <c r="I50" s="908"/>
      <c r="J50" s="4"/>
      <c r="K50" s="5"/>
      <c r="L50" s="2"/>
      <c r="M50" s="327"/>
    </row>
    <row r="51" spans="1:18" ht="3" customHeight="1">
      <c r="A51" s="2"/>
      <c r="B51" s="3"/>
      <c r="C51" s="6"/>
      <c r="D51" s="6"/>
      <c r="E51" s="30"/>
      <c r="F51" s="30"/>
      <c r="G51" s="30"/>
      <c r="H51" s="30"/>
      <c r="I51" s="30"/>
      <c r="J51" s="4"/>
      <c r="K51" s="5"/>
      <c r="L51" s="2"/>
      <c r="M51" s="327"/>
    </row>
    <row r="52" spans="1:18" ht="15" customHeight="1">
      <c r="A52" s="2"/>
      <c r="B52" s="3"/>
      <c r="C52" s="6" t="s">
        <v>26</v>
      </c>
      <c r="D52" s="6"/>
      <c r="E52" s="906"/>
      <c r="F52" s="907"/>
      <c r="G52" s="907"/>
      <c r="H52" s="907"/>
      <c r="I52" s="908"/>
      <c r="J52" s="4"/>
      <c r="K52" s="5"/>
      <c r="L52" s="2"/>
      <c r="M52" s="327"/>
    </row>
    <row r="53" spans="1:18" ht="3" customHeight="1">
      <c r="A53" s="2"/>
      <c r="B53" s="3"/>
      <c r="C53" s="6"/>
      <c r="D53" s="6"/>
      <c r="E53" s="30"/>
      <c r="F53" s="30"/>
      <c r="G53" s="30"/>
      <c r="H53" s="30"/>
      <c r="I53" s="30"/>
      <c r="J53" s="4"/>
      <c r="K53" s="5"/>
      <c r="L53" s="2"/>
      <c r="M53" s="327"/>
    </row>
    <row r="54" spans="1:18" ht="15" customHeight="1">
      <c r="A54" s="2"/>
      <c r="B54" s="3"/>
      <c r="C54" s="6" t="s">
        <v>15</v>
      </c>
      <c r="D54" s="6"/>
      <c r="E54" s="912"/>
      <c r="F54" s="913"/>
      <c r="G54" s="913"/>
      <c r="H54" s="913"/>
      <c r="I54" s="914"/>
      <c r="J54" s="4"/>
      <c r="K54" s="5"/>
      <c r="L54" s="2"/>
      <c r="M54" s="327"/>
    </row>
    <row r="55" spans="1:18" ht="16.5" thickBot="1">
      <c r="A55" s="2"/>
      <c r="B55" s="7"/>
      <c r="C55" s="8"/>
      <c r="D55" s="8"/>
      <c r="E55" s="8"/>
      <c r="F55" s="8"/>
      <c r="G55" s="8"/>
      <c r="H55" s="8"/>
      <c r="I55" s="8"/>
      <c r="J55" s="8"/>
      <c r="K55" s="9"/>
      <c r="L55" s="2"/>
      <c r="M55" s="327"/>
    </row>
    <row r="56" spans="1:18" ht="24" customHeight="1">
      <c r="A56" s="2"/>
      <c r="B56" s="2"/>
      <c r="C56" s="2"/>
      <c r="D56" s="2"/>
      <c r="E56" s="2"/>
      <c r="F56" s="2"/>
      <c r="G56" s="2"/>
      <c r="H56" s="2"/>
      <c r="I56" s="2"/>
      <c r="J56" s="2"/>
      <c r="K56" s="2"/>
      <c r="L56" s="2"/>
      <c r="M56" s="327"/>
    </row>
    <row r="57" spans="1:18" ht="18">
      <c r="A57" s="2"/>
      <c r="B57" s="915" t="s">
        <v>83</v>
      </c>
      <c r="C57" s="915"/>
      <c r="D57" s="915"/>
      <c r="E57" s="915"/>
      <c r="F57" s="915"/>
      <c r="G57" s="915"/>
      <c r="H57" s="915"/>
      <c r="I57" s="915"/>
      <c r="J57" s="915"/>
      <c r="K57" s="915"/>
      <c r="L57" s="2"/>
      <c r="M57" s="327"/>
    </row>
    <row r="58" spans="1:18" ht="6.6" customHeight="1" thickBot="1">
      <c r="A58" s="2"/>
      <c r="B58" s="2"/>
      <c r="C58" s="2"/>
      <c r="D58" s="2"/>
      <c r="E58" s="2"/>
      <c r="F58" s="2"/>
      <c r="G58" s="2"/>
      <c r="H58" s="2"/>
      <c r="I58" s="2"/>
      <c r="J58" s="2"/>
      <c r="K58" s="2"/>
      <c r="L58" s="2"/>
      <c r="M58" s="327"/>
    </row>
    <row r="59" spans="1:18" ht="3" customHeight="1">
      <c r="A59" s="2"/>
      <c r="B59" s="17"/>
      <c r="C59" s="18"/>
      <c r="D59" s="18"/>
      <c r="E59" s="18"/>
      <c r="F59" s="18"/>
      <c r="G59" s="18"/>
      <c r="H59" s="18"/>
      <c r="I59" s="18"/>
      <c r="J59" s="18"/>
      <c r="K59" s="19"/>
      <c r="L59" s="2"/>
      <c r="M59" s="327"/>
    </row>
    <row r="60" spans="1:18" ht="15" customHeight="1">
      <c r="A60" s="2"/>
      <c r="B60" s="20"/>
      <c r="C60" s="27" t="s">
        <v>77</v>
      </c>
      <c r="D60" s="27"/>
      <c r="E60" s="955">
        <v>30000000</v>
      </c>
      <c r="F60" s="956"/>
      <c r="G60" s="956"/>
      <c r="H60" s="956"/>
      <c r="I60" s="957"/>
      <c r="J60" s="4"/>
      <c r="K60" s="21"/>
      <c r="L60" s="2"/>
      <c r="M60" s="327"/>
    </row>
    <row r="61" spans="1:18" ht="3" customHeight="1">
      <c r="A61" s="2"/>
      <c r="B61" s="20"/>
      <c r="C61" s="27"/>
      <c r="D61" s="27"/>
      <c r="E61" s="33"/>
      <c r="F61" s="33"/>
      <c r="G61" s="33"/>
      <c r="H61" s="33"/>
      <c r="I61" s="33"/>
      <c r="J61" s="4"/>
      <c r="K61" s="21"/>
      <c r="L61" s="2"/>
      <c r="M61" s="327"/>
    </row>
    <row r="62" spans="1:18" ht="15" customHeight="1">
      <c r="A62" s="2"/>
      <c r="B62" s="20"/>
      <c r="C62" s="27" t="s">
        <v>78</v>
      </c>
      <c r="D62" s="27"/>
      <c r="E62" s="943"/>
      <c r="F62" s="944"/>
      <c r="G62" s="944"/>
      <c r="H62" s="944"/>
      <c r="I62" s="945"/>
      <c r="J62" s="4"/>
      <c r="K62" s="21"/>
      <c r="L62" s="2"/>
      <c r="M62" s="327"/>
    </row>
    <row r="63" spans="1:18" ht="1.5" customHeight="1">
      <c r="A63" s="2"/>
      <c r="B63" s="20"/>
      <c r="C63" s="25"/>
      <c r="D63" s="25"/>
      <c r="E63" s="906"/>
      <c r="F63" s="907"/>
      <c r="G63" s="907"/>
      <c r="H63" s="907"/>
      <c r="I63" s="908"/>
      <c r="J63" s="4"/>
      <c r="K63" s="21"/>
      <c r="L63" s="2"/>
      <c r="M63" s="327"/>
      <c r="N63" s="943"/>
      <c r="O63" s="944"/>
      <c r="P63" s="944"/>
      <c r="Q63" s="944"/>
      <c r="R63" s="945"/>
    </row>
    <row r="64" spans="1:18" ht="15" customHeight="1">
      <c r="A64" s="14" t="s">
        <v>62</v>
      </c>
      <c r="B64" s="20"/>
      <c r="C64" s="27" t="s">
        <v>75</v>
      </c>
      <c r="D64" s="27"/>
      <c r="E64" s="397">
        <v>5</v>
      </c>
      <c r="F64" s="46" t="s">
        <v>103</v>
      </c>
      <c r="G64" s="916" t="s">
        <v>25</v>
      </c>
      <c r="H64" s="917"/>
      <c r="I64" s="918"/>
      <c r="J64" s="4"/>
      <c r="K64" s="21"/>
      <c r="L64" s="2"/>
      <c r="M64" s="327"/>
    </row>
    <row r="65" spans="1:16" ht="3" customHeight="1">
      <c r="A65" s="14" t="s">
        <v>61</v>
      </c>
      <c r="B65" s="20"/>
      <c r="C65" s="25"/>
      <c r="D65" s="25"/>
      <c r="E65" s="906"/>
      <c r="F65" s="907"/>
      <c r="G65" s="907"/>
      <c r="H65" s="907"/>
      <c r="I65" s="908"/>
      <c r="J65" s="4"/>
      <c r="K65" s="21"/>
      <c r="L65" s="2"/>
      <c r="M65" s="327"/>
    </row>
    <row r="66" spans="1:16" ht="15" customHeight="1">
      <c r="A66" s="2"/>
      <c r="B66" s="20"/>
      <c r="C66" s="27" t="s">
        <v>74</v>
      </c>
      <c r="D66" s="27"/>
      <c r="E66" s="397"/>
      <c r="F66" s="46" t="s">
        <v>103</v>
      </c>
      <c r="G66" s="916"/>
      <c r="H66" s="917"/>
      <c r="I66" s="918"/>
      <c r="J66" s="4"/>
      <c r="K66" s="21"/>
      <c r="L66" s="2"/>
      <c r="M66" s="897">
        <f>(IF(OR(G64="MESES",G64="MES"), (EDATE(E54+I76+I82+I88+I94+I100+I106+I112+I118+I124,E64)), ((E54+I76+I82+I88+I94+I100+I106+I112+I118+I124)+E64)))</f>
        <v>614</v>
      </c>
    </row>
    <row r="67" spans="1:16" ht="3" customHeight="1">
      <c r="A67" s="2"/>
      <c r="B67" s="20"/>
      <c r="C67" s="27"/>
      <c r="D67" s="27"/>
      <c r="E67" s="906"/>
      <c r="F67" s="907"/>
      <c r="G67" s="907"/>
      <c r="H67" s="907"/>
      <c r="I67" s="908"/>
      <c r="J67" s="4"/>
      <c r="K67" s="21"/>
      <c r="L67" s="2"/>
      <c r="M67" s="326"/>
    </row>
    <row r="68" spans="1:16" ht="15" customHeight="1">
      <c r="A68" s="2"/>
      <c r="B68" s="20"/>
      <c r="C68" s="27" t="s">
        <v>76</v>
      </c>
      <c r="D68" s="27"/>
      <c r="E68" s="396"/>
      <c r="F68" s="46" t="s">
        <v>103</v>
      </c>
      <c r="G68" s="958"/>
      <c r="H68" s="959"/>
      <c r="I68" s="960"/>
      <c r="J68" s="4"/>
      <c r="K68" s="21"/>
      <c r="L68" s="2"/>
      <c r="M68" s="897">
        <f>(IF(OR(G66="MESES",G66="MES"), (EDATE(M66,E66)), (M66+E66)))</f>
        <v>614</v>
      </c>
    </row>
    <row r="69" spans="1:16" ht="3" customHeight="1" thickBot="1">
      <c r="A69" s="2"/>
      <c r="B69" s="22"/>
      <c r="C69" s="28"/>
      <c r="D69" s="28"/>
      <c r="E69" s="34"/>
      <c r="F69" s="34"/>
      <c r="G69" s="34"/>
      <c r="H69" s="34"/>
      <c r="I69" s="34"/>
      <c r="J69" s="23"/>
      <c r="K69" s="24"/>
      <c r="L69" s="2"/>
      <c r="M69" s="328"/>
    </row>
    <row r="70" spans="1:16" ht="9" customHeight="1" thickBot="1">
      <c r="A70" s="2"/>
      <c r="B70" s="2"/>
      <c r="C70" s="6"/>
      <c r="D70" s="6"/>
      <c r="E70" s="16"/>
      <c r="F70" s="16"/>
      <c r="G70" s="16"/>
      <c r="H70" s="16"/>
      <c r="I70" s="16"/>
      <c r="J70" s="2"/>
      <c r="K70" s="2"/>
      <c r="L70" s="2"/>
      <c r="M70" s="327"/>
    </row>
    <row r="71" spans="1:16" ht="3" customHeight="1">
      <c r="A71" s="2"/>
      <c r="B71" s="17"/>
      <c r="C71" s="18"/>
      <c r="D71" s="18"/>
      <c r="E71" s="18"/>
      <c r="F71" s="18"/>
      <c r="G71" s="18"/>
      <c r="H71" s="18"/>
      <c r="I71" s="18"/>
      <c r="J71" s="18"/>
      <c r="K71" s="19"/>
      <c r="L71" s="2"/>
      <c r="M71" s="318"/>
      <c r="N71" s="26"/>
      <c r="O71" s="26"/>
      <c r="P71" s="26"/>
    </row>
    <row r="72" spans="1:16" ht="15" customHeight="1">
      <c r="A72" s="2"/>
      <c r="B72" s="20"/>
      <c r="C72" s="6" t="s">
        <v>28</v>
      </c>
      <c r="D72" s="4"/>
      <c r="E72" s="906">
        <v>42428</v>
      </c>
      <c r="F72" s="907"/>
      <c r="G72" s="907"/>
      <c r="H72" s="907"/>
      <c r="I72" s="908"/>
      <c r="J72" s="4"/>
      <c r="K72" s="21"/>
      <c r="L72" s="2"/>
      <c r="M72" s="318"/>
      <c r="N72" s="26"/>
      <c r="O72" s="26"/>
      <c r="P72" s="26"/>
    </row>
    <row r="73" spans="1:16" ht="3" customHeight="1">
      <c r="A73" s="2"/>
      <c r="B73" s="20"/>
      <c r="C73" s="4"/>
      <c r="D73" s="4"/>
      <c r="E73" s="30"/>
      <c r="F73" s="30"/>
      <c r="G73" s="30"/>
      <c r="H73" s="30"/>
      <c r="I73" s="30"/>
      <c r="J73" s="4"/>
      <c r="K73" s="21"/>
      <c r="L73" s="2"/>
      <c r="M73" s="317"/>
    </row>
    <row r="74" spans="1:16" ht="15" customHeight="1">
      <c r="A74" s="2"/>
      <c r="B74" s="20"/>
      <c r="C74" s="6" t="s">
        <v>27</v>
      </c>
      <c r="D74" s="4"/>
      <c r="E74" s="906">
        <v>42459</v>
      </c>
      <c r="F74" s="907"/>
      <c r="G74" s="907"/>
      <c r="H74" s="907"/>
      <c r="I74" s="908"/>
      <c r="J74" s="4"/>
      <c r="K74" s="21"/>
      <c r="L74" s="2"/>
      <c r="M74" s="317"/>
    </row>
    <row r="75" spans="1:16" ht="3" customHeight="1">
      <c r="A75" s="2"/>
      <c r="B75" s="20"/>
      <c r="C75" s="4"/>
      <c r="D75" s="4"/>
      <c r="E75" s="30"/>
      <c r="F75" s="30"/>
      <c r="G75" s="30"/>
      <c r="H75" s="30"/>
      <c r="I75" s="30"/>
      <c r="J75" s="4"/>
      <c r="K75" s="21"/>
      <c r="L75" s="2"/>
      <c r="M75" s="317"/>
    </row>
    <row r="76" spans="1:16" ht="15" customHeight="1">
      <c r="A76" s="2"/>
      <c r="B76" s="20"/>
      <c r="C76" s="6" t="s">
        <v>63</v>
      </c>
      <c r="D76" s="4"/>
      <c r="E76" s="35" t="s">
        <v>62</v>
      </c>
      <c r="F76" s="30"/>
      <c r="G76" s="36" t="s">
        <v>73</v>
      </c>
      <c r="H76" s="30"/>
      <c r="I76" s="37">
        <f>E74-E72</f>
        <v>31</v>
      </c>
      <c r="J76" s="4"/>
      <c r="K76" s="21"/>
      <c r="L76" s="2"/>
      <c r="M76" s="317"/>
    </row>
    <row r="77" spans="1:16" ht="3" customHeight="1">
      <c r="A77" s="2"/>
      <c r="B77" s="20"/>
      <c r="C77" s="4"/>
      <c r="D77" s="4"/>
      <c r="E77" s="30"/>
      <c r="F77" s="30"/>
      <c r="G77" s="30"/>
      <c r="H77" s="30"/>
      <c r="I77" s="30"/>
      <c r="J77" s="4"/>
      <c r="K77" s="21"/>
      <c r="L77" s="2"/>
      <c r="M77" s="317"/>
    </row>
    <row r="78" spans="1:16" ht="15" customHeight="1">
      <c r="A78" s="2"/>
      <c r="B78" s="20"/>
      <c r="C78" s="6" t="s">
        <v>29</v>
      </c>
      <c r="D78" s="4"/>
      <c r="E78" s="906">
        <v>42491</v>
      </c>
      <c r="F78" s="907"/>
      <c r="G78" s="907"/>
      <c r="H78" s="907"/>
      <c r="I78" s="908"/>
      <c r="J78" s="4"/>
      <c r="K78" s="21"/>
      <c r="L78" s="2"/>
      <c r="M78" s="317"/>
    </row>
    <row r="79" spans="1:16" ht="3" customHeight="1">
      <c r="A79" s="2"/>
      <c r="B79" s="20"/>
      <c r="C79" s="4"/>
      <c r="D79" s="4"/>
      <c r="E79" s="30"/>
      <c r="F79" s="30"/>
      <c r="G79" s="30"/>
      <c r="H79" s="30"/>
      <c r="I79" s="30"/>
      <c r="J79" s="4"/>
      <c r="K79" s="21"/>
      <c r="L79" s="2"/>
      <c r="M79" s="317"/>
    </row>
    <row r="80" spans="1:16" ht="15" customHeight="1">
      <c r="A80" s="2"/>
      <c r="B80" s="20"/>
      <c r="C80" s="6" t="s">
        <v>30</v>
      </c>
      <c r="D80" s="4"/>
      <c r="E80" s="906">
        <v>42916</v>
      </c>
      <c r="F80" s="907"/>
      <c r="G80" s="907"/>
      <c r="H80" s="907"/>
      <c r="I80" s="908"/>
      <c r="J80" s="4"/>
      <c r="K80" s="21"/>
      <c r="L80" s="2"/>
      <c r="M80" s="317"/>
    </row>
    <row r="81" spans="1:14" ht="3" customHeight="1">
      <c r="A81" s="2"/>
      <c r="B81" s="20"/>
      <c r="C81" s="4"/>
      <c r="D81" s="4"/>
      <c r="E81" s="30"/>
      <c r="F81" s="30"/>
      <c r="G81" s="30"/>
      <c r="H81" s="30"/>
      <c r="I81" s="30"/>
      <c r="J81" s="4"/>
      <c r="K81" s="21"/>
      <c r="L81" s="2"/>
      <c r="M81" s="317"/>
    </row>
    <row r="82" spans="1:14" ht="15" customHeight="1">
      <c r="A82" s="2"/>
      <c r="B82" s="20"/>
      <c r="C82" s="6" t="s">
        <v>64</v>
      </c>
      <c r="D82" s="4"/>
      <c r="E82" s="35" t="s">
        <v>62</v>
      </c>
      <c r="F82" s="30"/>
      <c r="G82" s="36" t="s">
        <v>73</v>
      </c>
      <c r="H82" s="30"/>
      <c r="I82" s="37">
        <f>E80-E78</f>
        <v>425</v>
      </c>
      <c r="J82" s="4"/>
      <c r="K82" s="21"/>
      <c r="L82" s="2"/>
      <c r="M82" s="317"/>
    </row>
    <row r="83" spans="1:14" ht="3" customHeight="1">
      <c r="A83" s="2"/>
      <c r="B83" s="20"/>
      <c r="C83" s="4"/>
      <c r="D83" s="4"/>
      <c r="E83" s="30"/>
      <c r="F83" s="30"/>
      <c r="G83" s="30"/>
      <c r="H83" s="30"/>
      <c r="I83" s="30"/>
      <c r="J83" s="4"/>
      <c r="K83" s="21"/>
      <c r="L83" s="2"/>
      <c r="M83" s="317"/>
    </row>
    <row r="84" spans="1:14" ht="15" customHeight="1">
      <c r="A84" s="2"/>
      <c r="B84" s="20"/>
      <c r="C84" s="6" t="s">
        <v>31</v>
      </c>
      <c r="D84" s="4"/>
      <c r="E84" s="906">
        <v>42541</v>
      </c>
      <c r="F84" s="907"/>
      <c r="G84" s="907"/>
      <c r="H84" s="907"/>
      <c r="I84" s="908"/>
      <c r="J84" s="4"/>
      <c r="K84" s="21"/>
      <c r="L84" s="2"/>
      <c r="M84" s="317"/>
      <c r="N84" s="15"/>
    </row>
    <row r="85" spans="1:14" ht="3" customHeight="1">
      <c r="A85" s="2"/>
      <c r="B85" s="20"/>
      <c r="C85" s="4"/>
      <c r="D85" s="4"/>
      <c r="E85" s="30"/>
      <c r="F85" s="30"/>
      <c r="G85" s="30"/>
      <c r="H85" s="30"/>
      <c r="I85" s="30"/>
      <c r="J85" s="4"/>
      <c r="K85" s="21"/>
      <c r="L85" s="2"/>
      <c r="M85" s="317"/>
    </row>
    <row r="86" spans="1:14" ht="15" customHeight="1">
      <c r="A86" s="2"/>
      <c r="B86" s="20"/>
      <c r="C86" s="6" t="s">
        <v>32</v>
      </c>
      <c r="D86" s="4"/>
      <c r="E86" s="906">
        <v>42546</v>
      </c>
      <c r="F86" s="907"/>
      <c r="G86" s="907"/>
      <c r="H86" s="907"/>
      <c r="I86" s="908"/>
      <c r="J86" s="4"/>
      <c r="K86" s="21"/>
      <c r="L86" s="2"/>
      <c r="M86" s="317"/>
    </row>
    <row r="87" spans="1:14" ht="3" customHeight="1">
      <c r="A87" s="2"/>
      <c r="B87" s="20"/>
      <c r="C87" s="4"/>
      <c r="D87" s="4"/>
      <c r="E87" s="30"/>
      <c r="F87" s="30"/>
      <c r="G87" s="30"/>
      <c r="H87" s="30"/>
      <c r="I87" s="30"/>
      <c r="J87" s="4"/>
      <c r="K87" s="21"/>
      <c r="L87" s="2"/>
      <c r="M87" s="317"/>
    </row>
    <row r="88" spans="1:14" ht="15.75" customHeight="1">
      <c r="A88" s="2"/>
      <c r="B88" s="20"/>
      <c r="C88" s="6" t="s">
        <v>65</v>
      </c>
      <c r="D88" s="4"/>
      <c r="E88" s="35" t="s">
        <v>61</v>
      </c>
      <c r="F88" s="30"/>
      <c r="G88" s="36" t="s">
        <v>73</v>
      </c>
      <c r="H88" s="30"/>
      <c r="I88" s="37">
        <f>E86-E84</f>
        <v>5</v>
      </c>
      <c r="J88" s="4"/>
      <c r="K88" s="21"/>
      <c r="L88" s="2"/>
      <c r="M88" s="317"/>
    </row>
    <row r="89" spans="1:14" ht="3" customHeight="1">
      <c r="A89" s="2"/>
      <c r="B89" s="20"/>
      <c r="C89" s="4"/>
      <c r="D89" s="4"/>
      <c r="E89" s="30"/>
      <c r="F89" s="30"/>
      <c r="G89" s="30"/>
      <c r="H89" s="30"/>
      <c r="I89" s="30"/>
      <c r="J89" s="4"/>
      <c r="K89" s="21"/>
      <c r="L89" s="2"/>
      <c r="M89" s="317"/>
    </row>
    <row r="90" spans="1:14" ht="15" hidden="1" customHeight="1">
      <c r="A90" s="2"/>
      <c r="B90" s="20"/>
      <c r="C90" s="6" t="s">
        <v>33</v>
      </c>
      <c r="D90" s="4"/>
      <c r="E90" s="906"/>
      <c r="F90" s="907"/>
      <c r="G90" s="907"/>
      <c r="H90" s="907"/>
      <c r="I90" s="908"/>
      <c r="J90" s="4"/>
      <c r="K90" s="21"/>
      <c r="L90" s="2"/>
      <c r="M90" s="317"/>
    </row>
    <row r="91" spans="1:14" ht="3" hidden="1" customHeight="1">
      <c r="A91" s="2"/>
      <c r="B91" s="20"/>
      <c r="C91" s="4"/>
      <c r="D91" s="4"/>
      <c r="E91" s="30"/>
      <c r="F91" s="30"/>
      <c r="G91" s="30"/>
      <c r="H91" s="30"/>
      <c r="I91" s="30"/>
      <c r="J91" s="4"/>
      <c r="K91" s="21"/>
      <c r="L91" s="2"/>
      <c r="M91" s="317"/>
    </row>
    <row r="92" spans="1:14" ht="15" hidden="1" customHeight="1">
      <c r="A92" s="2"/>
      <c r="B92" s="20"/>
      <c r="C92" s="6" t="s">
        <v>34</v>
      </c>
      <c r="D92" s="4"/>
      <c r="E92" s="906"/>
      <c r="F92" s="907"/>
      <c r="G92" s="907"/>
      <c r="H92" s="907"/>
      <c r="I92" s="908"/>
      <c r="J92" s="4"/>
      <c r="K92" s="21"/>
      <c r="L92" s="2"/>
      <c r="M92" s="317"/>
    </row>
    <row r="93" spans="1:14" ht="3" hidden="1" customHeight="1">
      <c r="A93" s="2"/>
      <c r="B93" s="20"/>
      <c r="C93" s="4"/>
      <c r="D93" s="4"/>
      <c r="E93" s="30"/>
      <c r="F93" s="30"/>
      <c r="G93" s="30"/>
      <c r="H93" s="30"/>
      <c r="I93" s="30"/>
      <c r="J93" s="4"/>
      <c r="K93" s="21"/>
      <c r="L93" s="2"/>
      <c r="M93" s="317"/>
    </row>
    <row r="94" spans="1:14" ht="15" hidden="1" customHeight="1">
      <c r="A94" s="2"/>
      <c r="B94" s="20"/>
      <c r="C94" s="6" t="s">
        <v>66</v>
      </c>
      <c r="D94" s="4"/>
      <c r="E94" s="35" t="s">
        <v>61</v>
      </c>
      <c r="F94" s="30"/>
      <c r="G94" s="36" t="s">
        <v>73</v>
      </c>
      <c r="H94" s="30"/>
      <c r="I94" s="37">
        <f>E92-E90</f>
        <v>0</v>
      </c>
      <c r="J94" s="4"/>
      <c r="K94" s="21"/>
      <c r="L94" s="2"/>
      <c r="M94" s="317"/>
    </row>
    <row r="95" spans="1:14" ht="3" hidden="1" customHeight="1">
      <c r="A95" s="2"/>
      <c r="B95" s="20"/>
      <c r="C95" s="4"/>
      <c r="D95" s="4"/>
      <c r="E95" s="30"/>
      <c r="F95" s="30"/>
      <c r="G95" s="30"/>
      <c r="H95" s="30"/>
      <c r="I95" s="30"/>
      <c r="J95" s="4"/>
      <c r="K95" s="21"/>
      <c r="L95" s="2"/>
      <c r="M95" s="317"/>
    </row>
    <row r="96" spans="1:14" ht="15" hidden="1" customHeight="1">
      <c r="A96" s="2"/>
      <c r="B96" s="20"/>
      <c r="C96" s="6" t="s">
        <v>35</v>
      </c>
      <c r="D96" s="4"/>
      <c r="E96" s="906"/>
      <c r="F96" s="907"/>
      <c r="G96" s="907"/>
      <c r="H96" s="907"/>
      <c r="I96" s="908"/>
      <c r="J96" s="4"/>
      <c r="K96" s="21"/>
      <c r="L96" s="2"/>
      <c r="M96" s="317"/>
    </row>
    <row r="97" spans="1:13" ht="3" hidden="1" customHeight="1">
      <c r="A97" s="2"/>
      <c r="B97" s="20"/>
      <c r="C97" s="4"/>
      <c r="D97" s="4"/>
      <c r="E97" s="30"/>
      <c r="F97" s="30"/>
      <c r="G97" s="30"/>
      <c r="H97" s="30"/>
      <c r="I97" s="30"/>
      <c r="J97" s="4"/>
      <c r="K97" s="21"/>
      <c r="L97" s="2"/>
      <c r="M97" s="317"/>
    </row>
    <row r="98" spans="1:13" ht="15" hidden="1" customHeight="1">
      <c r="A98" s="2"/>
      <c r="B98" s="20"/>
      <c r="C98" s="6" t="s">
        <v>36</v>
      </c>
      <c r="D98" s="4"/>
      <c r="E98" s="906"/>
      <c r="F98" s="907"/>
      <c r="G98" s="907"/>
      <c r="H98" s="907"/>
      <c r="I98" s="908"/>
      <c r="J98" s="4"/>
      <c r="K98" s="21"/>
      <c r="L98" s="2"/>
      <c r="M98" s="317"/>
    </row>
    <row r="99" spans="1:13" ht="3" hidden="1" customHeight="1">
      <c r="A99" s="2"/>
      <c r="B99" s="20"/>
      <c r="C99" s="4"/>
      <c r="D99" s="4"/>
      <c r="E99" s="30"/>
      <c r="F99" s="30"/>
      <c r="G99" s="30"/>
      <c r="H99" s="30"/>
      <c r="I99" s="30"/>
      <c r="J99" s="4"/>
      <c r="K99" s="21"/>
      <c r="L99" s="2"/>
      <c r="M99" s="317"/>
    </row>
    <row r="100" spans="1:13" ht="15" hidden="1" customHeight="1">
      <c r="A100" s="2"/>
      <c r="B100" s="20"/>
      <c r="C100" s="6" t="s">
        <v>67</v>
      </c>
      <c r="D100" s="4"/>
      <c r="E100" s="35" t="s">
        <v>61</v>
      </c>
      <c r="F100" s="30"/>
      <c r="G100" s="36" t="s">
        <v>73</v>
      </c>
      <c r="H100" s="30"/>
      <c r="I100" s="37">
        <f>E98-E96</f>
        <v>0</v>
      </c>
      <c r="J100" s="4"/>
      <c r="K100" s="21"/>
      <c r="L100" s="2"/>
      <c r="M100" s="317"/>
    </row>
    <row r="101" spans="1:13" ht="3" hidden="1" customHeight="1">
      <c r="A101" s="2"/>
      <c r="B101" s="20"/>
      <c r="C101" s="4"/>
      <c r="D101" s="4"/>
      <c r="E101" s="30"/>
      <c r="F101" s="30"/>
      <c r="G101" s="30"/>
      <c r="H101" s="30"/>
      <c r="I101" s="30"/>
      <c r="J101" s="4"/>
      <c r="K101" s="21"/>
      <c r="L101" s="2"/>
      <c r="M101" s="317"/>
    </row>
    <row r="102" spans="1:13" ht="15" hidden="1" customHeight="1">
      <c r="A102" s="2"/>
      <c r="B102" s="20"/>
      <c r="C102" s="6" t="s">
        <v>37</v>
      </c>
      <c r="D102" s="4"/>
      <c r="E102" s="906"/>
      <c r="F102" s="907"/>
      <c r="G102" s="907"/>
      <c r="H102" s="907"/>
      <c r="I102" s="908"/>
      <c r="J102" s="4"/>
      <c r="K102" s="21"/>
      <c r="L102" s="2"/>
      <c r="M102" s="317"/>
    </row>
    <row r="103" spans="1:13" ht="3" hidden="1" customHeight="1">
      <c r="A103" s="2"/>
      <c r="B103" s="20"/>
      <c r="C103" s="4"/>
      <c r="D103" s="4"/>
      <c r="E103" s="30"/>
      <c r="F103" s="30"/>
      <c r="G103" s="30"/>
      <c r="H103" s="30"/>
      <c r="I103" s="30"/>
      <c r="J103" s="4"/>
      <c r="K103" s="21"/>
      <c r="L103" s="2"/>
      <c r="M103" s="317"/>
    </row>
    <row r="104" spans="1:13" ht="15" hidden="1" customHeight="1">
      <c r="A104" s="2"/>
      <c r="B104" s="20"/>
      <c r="C104" s="6" t="s">
        <v>39</v>
      </c>
      <c r="D104" s="4"/>
      <c r="E104" s="906"/>
      <c r="F104" s="907"/>
      <c r="G104" s="907"/>
      <c r="H104" s="907"/>
      <c r="I104" s="908"/>
      <c r="J104" s="4"/>
      <c r="K104" s="21"/>
      <c r="L104" s="2"/>
      <c r="M104" s="317"/>
    </row>
    <row r="105" spans="1:13" ht="3" hidden="1" customHeight="1">
      <c r="A105" s="2"/>
      <c r="B105" s="20"/>
      <c r="C105" s="4"/>
      <c r="D105" s="4"/>
      <c r="E105" s="30"/>
      <c r="F105" s="30"/>
      <c r="G105" s="30"/>
      <c r="H105" s="30"/>
      <c r="I105" s="30"/>
      <c r="J105" s="4"/>
      <c r="K105" s="21"/>
      <c r="L105" s="2"/>
      <c r="M105" s="317"/>
    </row>
    <row r="106" spans="1:13" ht="15" hidden="1" customHeight="1">
      <c r="A106" s="2"/>
      <c r="B106" s="20"/>
      <c r="C106" s="6" t="s">
        <v>68</v>
      </c>
      <c r="D106" s="4"/>
      <c r="E106" s="35" t="s">
        <v>61</v>
      </c>
      <c r="F106" s="30"/>
      <c r="G106" s="36" t="s">
        <v>73</v>
      </c>
      <c r="H106" s="30"/>
      <c r="I106" s="37">
        <f>E104-E102</f>
        <v>0</v>
      </c>
      <c r="J106" s="4"/>
      <c r="K106" s="21"/>
      <c r="L106" s="2"/>
      <c r="M106" s="317"/>
    </row>
    <row r="107" spans="1:13" ht="3" hidden="1" customHeight="1">
      <c r="A107" s="2"/>
      <c r="B107" s="20"/>
      <c r="C107" s="4"/>
      <c r="D107" s="4"/>
      <c r="E107" s="30"/>
      <c r="F107" s="30"/>
      <c r="G107" s="30"/>
      <c r="H107" s="30"/>
      <c r="I107" s="30"/>
      <c r="J107" s="4"/>
      <c r="K107" s="21"/>
      <c r="L107" s="2"/>
      <c r="M107" s="317"/>
    </row>
    <row r="108" spans="1:13" ht="15" hidden="1" customHeight="1">
      <c r="A108" s="2"/>
      <c r="B108" s="20"/>
      <c r="C108" s="6" t="s">
        <v>40</v>
      </c>
      <c r="D108" s="4"/>
      <c r="E108" s="906"/>
      <c r="F108" s="907"/>
      <c r="G108" s="907"/>
      <c r="H108" s="907"/>
      <c r="I108" s="908"/>
      <c r="J108" s="4"/>
      <c r="K108" s="21"/>
      <c r="L108" s="2"/>
      <c r="M108" s="317"/>
    </row>
    <row r="109" spans="1:13" ht="3" hidden="1" customHeight="1">
      <c r="A109" s="2"/>
      <c r="B109" s="20"/>
      <c r="C109" s="4"/>
      <c r="D109" s="4"/>
      <c r="E109" s="30"/>
      <c r="F109" s="30"/>
      <c r="G109" s="30"/>
      <c r="H109" s="30"/>
      <c r="I109" s="30"/>
      <c r="J109" s="4"/>
      <c r="K109" s="21"/>
      <c r="L109" s="2"/>
      <c r="M109" s="317"/>
    </row>
    <row r="110" spans="1:13" ht="15" hidden="1" customHeight="1">
      <c r="A110" s="2"/>
      <c r="B110" s="20"/>
      <c r="C110" s="6" t="s">
        <v>38</v>
      </c>
      <c r="D110" s="4"/>
      <c r="E110" s="906"/>
      <c r="F110" s="907"/>
      <c r="G110" s="907"/>
      <c r="H110" s="907"/>
      <c r="I110" s="908"/>
      <c r="J110" s="4"/>
      <c r="K110" s="21"/>
      <c r="L110" s="2"/>
      <c r="M110" s="317"/>
    </row>
    <row r="111" spans="1:13" ht="3" hidden="1" customHeight="1">
      <c r="A111" s="2"/>
      <c r="B111" s="20"/>
      <c r="C111" s="4"/>
      <c r="D111" s="4"/>
      <c r="E111" s="30"/>
      <c r="F111" s="30"/>
      <c r="G111" s="30"/>
      <c r="H111" s="30"/>
      <c r="I111" s="30"/>
      <c r="J111" s="4"/>
      <c r="K111" s="21"/>
      <c r="L111" s="2"/>
      <c r="M111" s="317"/>
    </row>
    <row r="112" spans="1:13" ht="15" hidden="1" customHeight="1">
      <c r="A112" s="2"/>
      <c r="B112" s="20"/>
      <c r="C112" s="6" t="s">
        <v>69</v>
      </c>
      <c r="D112" s="4"/>
      <c r="E112" s="35" t="s">
        <v>61</v>
      </c>
      <c r="F112" s="30"/>
      <c r="G112" s="36" t="s">
        <v>73</v>
      </c>
      <c r="H112" s="30"/>
      <c r="I112" s="37">
        <f>E110-E108</f>
        <v>0</v>
      </c>
      <c r="J112" s="4"/>
      <c r="K112" s="21"/>
      <c r="L112" s="2"/>
      <c r="M112" s="317"/>
    </row>
    <row r="113" spans="1:13" ht="3" hidden="1" customHeight="1">
      <c r="A113" s="2"/>
      <c r="B113" s="20"/>
      <c r="C113" s="4"/>
      <c r="D113" s="4"/>
      <c r="E113" s="30"/>
      <c r="F113" s="30"/>
      <c r="G113" s="30"/>
      <c r="H113" s="30"/>
      <c r="I113" s="30"/>
      <c r="J113" s="4"/>
      <c r="K113" s="21"/>
      <c r="L113" s="2"/>
      <c r="M113" s="317"/>
    </row>
    <row r="114" spans="1:13" ht="15" hidden="1" customHeight="1">
      <c r="A114" s="2"/>
      <c r="B114" s="20"/>
      <c r="C114" s="6" t="s">
        <v>41</v>
      </c>
      <c r="D114" s="4"/>
      <c r="E114" s="906"/>
      <c r="F114" s="907"/>
      <c r="G114" s="907"/>
      <c r="H114" s="907"/>
      <c r="I114" s="908"/>
      <c r="J114" s="4"/>
      <c r="K114" s="21"/>
      <c r="L114" s="2"/>
      <c r="M114" s="317"/>
    </row>
    <row r="115" spans="1:13" ht="3" hidden="1" customHeight="1">
      <c r="A115" s="2"/>
      <c r="B115" s="20"/>
      <c r="C115" s="4"/>
      <c r="D115" s="4"/>
      <c r="E115" s="30"/>
      <c r="F115" s="30"/>
      <c r="G115" s="30"/>
      <c r="H115" s="30"/>
      <c r="I115" s="30"/>
      <c r="J115" s="4"/>
      <c r="K115" s="21"/>
      <c r="L115" s="2"/>
      <c r="M115" s="317"/>
    </row>
    <row r="116" spans="1:13" ht="15" hidden="1" customHeight="1">
      <c r="A116" s="2"/>
      <c r="B116" s="20"/>
      <c r="C116" s="6" t="s">
        <v>42</v>
      </c>
      <c r="D116" s="4"/>
      <c r="E116" s="906"/>
      <c r="F116" s="907"/>
      <c r="G116" s="907"/>
      <c r="H116" s="907"/>
      <c r="I116" s="908"/>
      <c r="J116" s="4"/>
      <c r="K116" s="21"/>
      <c r="L116" s="2"/>
      <c r="M116" s="317"/>
    </row>
    <row r="117" spans="1:13" ht="3" hidden="1" customHeight="1">
      <c r="A117" s="2"/>
      <c r="B117" s="20"/>
      <c r="C117" s="4"/>
      <c r="D117" s="4"/>
      <c r="E117" s="30"/>
      <c r="F117" s="30"/>
      <c r="G117" s="30"/>
      <c r="H117" s="30"/>
      <c r="I117" s="30"/>
      <c r="J117" s="4"/>
      <c r="K117" s="21"/>
      <c r="L117" s="2"/>
      <c r="M117" s="317"/>
    </row>
    <row r="118" spans="1:13" ht="15" hidden="1" customHeight="1">
      <c r="A118" s="2"/>
      <c r="B118" s="20"/>
      <c r="C118" s="6" t="s">
        <v>70</v>
      </c>
      <c r="D118" s="4"/>
      <c r="E118" s="35" t="s">
        <v>61</v>
      </c>
      <c r="F118" s="30"/>
      <c r="G118" s="36" t="s">
        <v>73</v>
      </c>
      <c r="H118" s="30"/>
      <c r="I118" s="37">
        <f>E116-E114</f>
        <v>0</v>
      </c>
      <c r="J118" s="4"/>
      <c r="K118" s="21"/>
      <c r="L118" s="2"/>
      <c r="M118" s="317"/>
    </row>
    <row r="119" spans="1:13" ht="3" hidden="1" customHeight="1">
      <c r="A119" s="2"/>
      <c r="B119" s="20"/>
      <c r="C119" s="4"/>
      <c r="D119" s="4"/>
      <c r="E119" s="30"/>
      <c r="F119" s="30"/>
      <c r="G119" s="30"/>
      <c r="H119" s="30"/>
      <c r="I119" s="30"/>
      <c r="J119" s="4"/>
      <c r="K119" s="21"/>
      <c r="L119" s="2"/>
      <c r="M119" s="317"/>
    </row>
    <row r="120" spans="1:13" ht="15" hidden="1" customHeight="1">
      <c r="A120" s="2"/>
      <c r="B120" s="20"/>
      <c r="C120" s="6" t="s">
        <v>43</v>
      </c>
      <c r="D120" s="4"/>
      <c r="E120" s="906"/>
      <c r="F120" s="907"/>
      <c r="G120" s="907"/>
      <c r="H120" s="907"/>
      <c r="I120" s="908"/>
      <c r="J120" s="4"/>
      <c r="K120" s="21"/>
      <c r="L120" s="2"/>
      <c r="M120" s="317"/>
    </row>
    <row r="121" spans="1:13" ht="3" hidden="1" customHeight="1">
      <c r="A121" s="2"/>
      <c r="B121" s="20"/>
      <c r="C121" s="4"/>
      <c r="D121" s="4"/>
      <c r="E121" s="30"/>
      <c r="F121" s="30"/>
      <c r="G121" s="30"/>
      <c r="H121" s="30"/>
      <c r="I121" s="30"/>
      <c r="J121" s="4"/>
      <c r="K121" s="21"/>
      <c r="L121" s="2"/>
      <c r="M121" s="317"/>
    </row>
    <row r="122" spans="1:13" ht="15" hidden="1" customHeight="1">
      <c r="A122" s="2"/>
      <c r="B122" s="20"/>
      <c r="C122" s="6" t="s">
        <v>44</v>
      </c>
      <c r="D122" s="4"/>
      <c r="E122" s="906"/>
      <c r="F122" s="907"/>
      <c r="G122" s="907"/>
      <c r="H122" s="907"/>
      <c r="I122" s="908"/>
      <c r="J122" s="4"/>
      <c r="K122" s="21"/>
      <c r="L122" s="2"/>
      <c r="M122" s="317"/>
    </row>
    <row r="123" spans="1:13" ht="3" hidden="1" customHeight="1">
      <c r="A123" s="2"/>
      <c r="B123" s="20"/>
      <c r="C123" s="4"/>
      <c r="D123" s="4"/>
      <c r="E123" s="30"/>
      <c r="F123" s="30"/>
      <c r="G123" s="30"/>
      <c r="H123" s="30"/>
      <c r="I123" s="30"/>
      <c r="J123" s="4"/>
      <c r="K123" s="21"/>
      <c r="L123" s="2"/>
      <c r="M123" s="317"/>
    </row>
    <row r="124" spans="1:13" ht="15" hidden="1" customHeight="1">
      <c r="A124" s="2"/>
      <c r="B124" s="20"/>
      <c r="C124" s="6" t="s">
        <v>71</v>
      </c>
      <c r="D124" s="4"/>
      <c r="E124" s="35" t="s">
        <v>61</v>
      </c>
      <c r="F124" s="30"/>
      <c r="G124" s="36" t="s">
        <v>73</v>
      </c>
      <c r="H124" s="30"/>
      <c r="I124" s="37">
        <f>E122-E120</f>
        <v>0</v>
      </c>
      <c r="J124" s="4"/>
      <c r="K124" s="21"/>
      <c r="L124" s="2"/>
      <c r="M124" s="317"/>
    </row>
    <row r="125" spans="1:13" ht="3" hidden="1" customHeight="1">
      <c r="A125" s="2"/>
      <c r="B125" s="20"/>
      <c r="C125" s="4"/>
      <c r="D125" s="4"/>
      <c r="E125" s="30"/>
      <c r="F125" s="30"/>
      <c r="G125" s="30"/>
      <c r="H125" s="30"/>
      <c r="I125" s="30"/>
      <c r="J125" s="4"/>
      <c r="K125" s="21"/>
      <c r="L125" s="2"/>
      <c r="M125" s="317"/>
    </row>
    <row r="126" spans="1:13" ht="15" hidden="1" customHeight="1">
      <c r="A126" s="2"/>
      <c r="B126" s="20"/>
      <c r="C126" s="6" t="s">
        <v>45</v>
      </c>
      <c r="D126" s="4"/>
      <c r="E126" s="906"/>
      <c r="F126" s="907"/>
      <c r="G126" s="907"/>
      <c r="H126" s="907"/>
      <c r="I126" s="908"/>
      <c r="J126" s="4"/>
      <c r="K126" s="21"/>
      <c r="L126" s="2"/>
      <c r="M126" s="317"/>
    </row>
    <row r="127" spans="1:13" ht="3" hidden="1" customHeight="1">
      <c r="A127" s="2"/>
      <c r="B127" s="20"/>
      <c r="C127" s="4"/>
      <c r="D127" s="4"/>
      <c r="E127" s="30"/>
      <c r="F127" s="30"/>
      <c r="G127" s="30"/>
      <c r="H127" s="30"/>
      <c r="I127" s="30"/>
      <c r="J127" s="4"/>
      <c r="K127" s="21"/>
      <c r="L127" s="2"/>
      <c r="M127" s="317"/>
    </row>
    <row r="128" spans="1:13" ht="15" hidden="1" customHeight="1">
      <c r="A128" s="2"/>
      <c r="B128" s="20"/>
      <c r="C128" s="6" t="s">
        <v>46</v>
      </c>
      <c r="D128" s="4"/>
      <c r="E128" s="906"/>
      <c r="F128" s="907"/>
      <c r="G128" s="907"/>
      <c r="H128" s="907"/>
      <c r="I128" s="908"/>
      <c r="J128" s="4"/>
      <c r="K128" s="21"/>
      <c r="L128" s="2"/>
      <c r="M128" s="317"/>
    </row>
    <row r="129" spans="1:13" ht="3" customHeight="1" thickBot="1">
      <c r="A129" s="2"/>
      <c r="B129" s="22"/>
      <c r="C129" s="23"/>
      <c r="D129" s="23"/>
      <c r="E129" s="23"/>
      <c r="F129" s="23"/>
      <c r="G129" s="23"/>
      <c r="H129" s="23"/>
      <c r="I129" s="23"/>
      <c r="J129" s="23"/>
      <c r="K129" s="24"/>
      <c r="L129" s="2"/>
      <c r="M129" s="317"/>
    </row>
    <row r="130" spans="1:13" ht="9" customHeight="1" thickBot="1">
      <c r="A130" s="2"/>
      <c r="B130" s="2"/>
      <c r="C130" s="2"/>
      <c r="D130" s="2"/>
      <c r="E130" s="2"/>
      <c r="F130" s="2"/>
      <c r="G130" s="2"/>
      <c r="H130" s="2"/>
      <c r="I130" s="2"/>
      <c r="J130" s="2"/>
      <c r="K130" s="2"/>
      <c r="L130" s="2"/>
      <c r="M130" s="317"/>
    </row>
    <row r="131" spans="1:13" ht="3" customHeight="1" thickBot="1">
      <c r="A131" s="2"/>
      <c r="B131" s="17"/>
      <c r="C131" s="18"/>
      <c r="D131" s="18"/>
      <c r="E131" s="18"/>
      <c r="F131" s="18"/>
      <c r="G131" s="18"/>
      <c r="H131" s="18"/>
      <c r="I131" s="18"/>
      <c r="J131" s="18"/>
      <c r="K131" s="19"/>
      <c r="L131" s="2"/>
      <c r="M131" s="317"/>
    </row>
    <row r="132" spans="1:13" ht="18" customHeight="1" thickBot="1">
      <c r="A132" s="2"/>
      <c r="B132" s="20"/>
      <c r="C132" s="38" t="s">
        <v>72</v>
      </c>
      <c r="D132" s="4"/>
      <c r="E132" s="919">
        <f>(IF(OR(G68="MESES",G68="MES"), (EDATE(M68,E68)), (M68+E68)))</f>
        <v>614</v>
      </c>
      <c r="F132" s="920"/>
      <c r="G132" s="920"/>
      <c r="H132" s="920"/>
      <c r="I132" s="921"/>
      <c r="J132" s="4"/>
      <c r="K132" s="21"/>
      <c r="L132" s="2"/>
      <c r="M132" s="317"/>
    </row>
    <row r="133" spans="1:13" ht="3" customHeight="1" thickBot="1">
      <c r="A133" s="2"/>
      <c r="B133" s="22"/>
      <c r="C133" s="39"/>
      <c r="D133" s="23"/>
      <c r="E133" s="40"/>
      <c r="F133" s="40"/>
      <c r="G133" s="40"/>
      <c r="H133" s="40"/>
      <c r="I133" s="40"/>
      <c r="J133" s="23"/>
      <c r="K133" s="24"/>
      <c r="L133" s="2"/>
      <c r="M133" s="317"/>
    </row>
    <row r="134" spans="1:13" ht="9" customHeight="1" thickBot="1">
      <c r="A134" s="2"/>
      <c r="B134" s="2"/>
      <c r="C134" s="2"/>
      <c r="D134" s="2"/>
      <c r="E134" s="2"/>
      <c r="F134" s="2"/>
      <c r="G134" s="2"/>
      <c r="H134" s="2"/>
      <c r="I134" s="2"/>
      <c r="J134" s="2"/>
      <c r="K134" s="2"/>
      <c r="L134" s="2"/>
      <c r="M134" s="317"/>
    </row>
    <row r="135" spans="1:13" ht="3" customHeight="1">
      <c r="A135" s="2"/>
      <c r="B135" s="17"/>
      <c r="C135" s="18"/>
      <c r="D135" s="18"/>
      <c r="E135" s="18"/>
      <c r="F135" s="18"/>
      <c r="G135" s="18"/>
      <c r="H135" s="18"/>
      <c r="I135" s="18"/>
      <c r="J135" s="18"/>
      <c r="K135" s="19"/>
      <c r="L135" s="2"/>
      <c r="M135" s="317"/>
    </row>
    <row r="136" spans="1:13" s="392" customFormat="1" ht="15" customHeight="1">
      <c r="A136" s="387"/>
      <c r="B136" s="388"/>
      <c r="C136" s="389" t="s">
        <v>47</v>
      </c>
      <c r="D136" s="30"/>
      <c r="E136" s="906"/>
      <c r="F136" s="907"/>
      <c r="G136" s="907"/>
      <c r="H136" s="907"/>
      <c r="I136" s="908"/>
      <c r="J136" s="30"/>
      <c r="K136" s="390"/>
      <c r="L136" s="387"/>
      <c r="M136" s="391"/>
    </row>
    <row r="137" spans="1:13" s="392" customFormat="1" ht="3" customHeight="1">
      <c r="A137" s="387"/>
      <c r="B137" s="388"/>
      <c r="C137" s="30"/>
      <c r="D137" s="30"/>
      <c r="E137" s="30"/>
      <c r="F137" s="30"/>
      <c r="G137" s="30"/>
      <c r="H137" s="30"/>
      <c r="I137" s="30"/>
      <c r="J137" s="30"/>
      <c r="K137" s="390"/>
      <c r="L137" s="387"/>
      <c r="M137" s="391"/>
    </row>
    <row r="138" spans="1:13" s="392" customFormat="1" ht="15" hidden="1" customHeight="1">
      <c r="A138" s="387"/>
      <c r="B138" s="388"/>
      <c r="C138" s="389" t="s">
        <v>49</v>
      </c>
      <c r="D138" s="30"/>
      <c r="E138" s="906">
        <v>0</v>
      </c>
      <c r="F138" s="907"/>
      <c r="G138" s="907"/>
      <c r="H138" s="907"/>
      <c r="I138" s="908"/>
      <c r="J138" s="30">
        <v>7</v>
      </c>
      <c r="K138" s="390"/>
      <c r="L138" s="387"/>
      <c r="M138" s="391"/>
    </row>
    <row r="139" spans="1:13" s="392" customFormat="1" ht="3" hidden="1" customHeight="1">
      <c r="A139" s="387"/>
      <c r="B139" s="388"/>
      <c r="C139" s="30"/>
      <c r="D139" s="30"/>
      <c r="E139" s="30"/>
      <c r="F139" s="30"/>
      <c r="G139" s="30"/>
      <c r="H139" s="30"/>
      <c r="I139" s="30"/>
      <c r="J139" s="30"/>
      <c r="K139" s="390"/>
      <c r="L139" s="387"/>
      <c r="M139" s="391"/>
    </row>
    <row r="140" spans="1:13" s="392" customFormat="1" ht="15" hidden="1" customHeight="1">
      <c r="A140" s="387"/>
      <c r="B140" s="388"/>
      <c r="C140" s="389" t="s">
        <v>50</v>
      </c>
      <c r="D140" s="30"/>
      <c r="E140" s="906">
        <v>0</v>
      </c>
      <c r="F140" s="907"/>
      <c r="G140" s="907"/>
      <c r="H140" s="907"/>
      <c r="I140" s="908"/>
      <c r="J140" s="30"/>
      <c r="K140" s="390"/>
      <c r="L140" s="387"/>
      <c r="M140" s="391"/>
    </row>
    <row r="141" spans="1:13" s="392" customFormat="1" ht="3" hidden="1" customHeight="1">
      <c r="A141" s="387"/>
      <c r="B141" s="388"/>
      <c r="C141" s="30"/>
      <c r="D141" s="30"/>
      <c r="E141" s="30"/>
      <c r="F141" s="30"/>
      <c r="G141" s="30"/>
      <c r="H141" s="30"/>
      <c r="I141" s="30"/>
      <c r="J141" s="30"/>
      <c r="K141" s="390"/>
      <c r="L141" s="387"/>
      <c r="M141" s="391"/>
    </row>
    <row r="142" spans="1:13" s="392" customFormat="1" ht="15" customHeight="1">
      <c r="A142" s="387"/>
      <c r="B142" s="388"/>
      <c r="C142" s="389" t="s">
        <v>48</v>
      </c>
      <c r="D142" s="30"/>
      <c r="E142" s="906"/>
      <c r="F142" s="907"/>
      <c r="G142" s="907"/>
      <c r="H142" s="907"/>
      <c r="I142" s="908"/>
      <c r="J142" s="30"/>
      <c r="K142" s="390"/>
      <c r="L142" s="387"/>
      <c r="M142" s="391"/>
    </row>
    <row r="143" spans="1:13" s="392" customFormat="1" ht="3" customHeight="1">
      <c r="A143" s="387"/>
      <c r="B143" s="388"/>
      <c r="C143" s="30"/>
      <c r="D143" s="30"/>
      <c r="E143" s="30"/>
      <c r="F143" s="30"/>
      <c r="G143" s="30"/>
      <c r="H143" s="30"/>
      <c r="I143" s="30"/>
      <c r="J143" s="30"/>
      <c r="K143" s="390"/>
      <c r="L143" s="387"/>
      <c r="M143" s="391"/>
    </row>
    <row r="144" spans="1:13" s="392" customFormat="1" ht="15" customHeight="1">
      <c r="A144" s="387"/>
      <c r="B144" s="388"/>
      <c r="C144" s="389" t="s">
        <v>51</v>
      </c>
      <c r="D144" s="30"/>
      <c r="E144" s="906"/>
      <c r="F144" s="907"/>
      <c r="G144" s="907"/>
      <c r="H144" s="907"/>
      <c r="I144" s="908"/>
      <c r="J144" s="30"/>
      <c r="K144" s="390"/>
      <c r="L144" s="387"/>
      <c r="M144" s="391"/>
    </row>
    <row r="145" spans="1:13" s="392" customFormat="1" ht="3" customHeight="1">
      <c r="A145" s="387"/>
      <c r="B145" s="388"/>
      <c r="C145" s="30"/>
      <c r="D145" s="30"/>
      <c r="E145" s="30"/>
      <c r="F145" s="30"/>
      <c r="G145" s="30"/>
      <c r="H145" s="30"/>
      <c r="I145" s="30"/>
      <c r="J145" s="30"/>
      <c r="K145" s="390"/>
      <c r="L145" s="387"/>
      <c r="M145" s="391"/>
    </row>
    <row r="146" spans="1:13" s="392" customFormat="1" ht="15" customHeight="1">
      <c r="A146" s="387"/>
      <c r="B146" s="388"/>
      <c r="C146" s="389" t="s">
        <v>52</v>
      </c>
      <c r="D146" s="30"/>
      <c r="E146" s="906">
        <v>0</v>
      </c>
      <c r="F146" s="907"/>
      <c r="G146" s="907"/>
      <c r="H146" s="907"/>
      <c r="I146" s="908"/>
      <c r="J146" s="30"/>
      <c r="K146" s="390"/>
      <c r="L146" s="387"/>
      <c r="M146" s="391"/>
    </row>
    <row r="147" spans="1:13" s="392" customFormat="1" ht="3" customHeight="1">
      <c r="A147" s="387"/>
      <c r="B147" s="388"/>
      <c r="C147" s="30"/>
      <c r="D147" s="30"/>
      <c r="E147" s="30">
        <v>7</v>
      </c>
      <c r="F147" s="30"/>
      <c r="G147" s="30"/>
      <c r="H147" s="30"/>
      <c r="I147" s="30"/>
      <c r="J147" s="30"/>
      <c r="K147" s="390"/>
      <c r="L147" s="387"/>
      <c r="M147" s="391"/>
    </row>
    <row r="148" spans="1:13" s="392" customFormat="1" ht="15" hidden="1" customHeight="1">
      <c r="A148" s="387"/>
      <c r="B148" s="388"/>
      <c r="C148" s="389" t="s">
        <v>54</v>
      </c>
      <c r="D148" s="30"/>
      <c r="E148" s="906">
        <v>0</v>
      </c>
      <c r="F148" s="907"/>
      <c r="G148" s="907"/>
      <c r="H148" s="907"/>
      <c r="I148" s="908"/>
      <c r="J148" s="30"/>
      <c r="K148" s="390"/>
      <c r="L148" s="387"/>
      <c r="M148" s="391"/>
    </row>
    <row r="149" spans="1:13" s="392" customFormat="1" ht="3" hidden="1" customHeight="1">
      <c r="A149" s="387"/>
      <c r="B149" s="388"/>
      <c r="C149" s="30"/>
      <c r="D149" s="30"/>
      <c r="E149" s="30"/>
      <c r="F149" s="30"/>
      <c r="G149" s="30"/>
      <c r="H149" s="30"/>
      <c r="I149" s="30"/>
      <c r="J149" s="30"/>
      <c r="K149" s="390"/>
      <c r="L149" s="387"/>
      <c r="M149" s="391"/>
    </row>
    <row r="150" spans="1:13" s="392" customFormat="1" ht="15" hidden="1" customHeight="1">
      <c r="A150" s="387"/>
      <c r="B150" s="388"/>
      <c r="C150" s="389" t="s">
        <v>55</v>
      </c>
      <c r="D150" s="30"/>
      <c r="E150" s="906">
        <v>0</v>
      </c>
      <c r="F150" s="907"/>
      <c r="G150" s="907"/>
      <c r="H150" s="907"/>
      <c r="I150" s="908"/>
      <c r="J150" s="30"/>
      <c r="K150" s="390"/>
      <c r="L150" s="387"/>
      <c r="M150" s="391"/>
    </row>
    <row r="151" spans="1:13" s="392" customFormat="1" ht="3" hidden="1" customHeight="1">
      <c r="A151" s="387"/>
      <c r="B151" s="388"/>
      <c r="C151" s="30"/>
      <c r="D151" s="30"/>
      <c r="E151" s="30"/>
      <c r="F151" s="30"/>
      <c r="G151" s="30"/>
      <c r="H151" s="30"/>
      <c r="I151" s="30"/>
      <c r="J151" s="30"/>
      <c r="K151" s="390"/>
      <c r="L151" s="387"/>
      <c r="M151" s="391"/>
    </row>
    <row r="152" spans="1:13" s="392" customFormat="1" ht="15" hidden="1" customHeight="1">
      <c r="A152" s="387"/>
      <c r="B152" s="388"/>
      <c r="C152" s="389" t="s">
        <v>56</v>
      </c>
      <c r="D152" s="30"/>
      <c r="E152" s="906">
        <v>0</v>
      </c>
      <c r="F152" s="907"/>
      <c r="G152" s="907"/>
      <c r="H152" s="907"/>
      <c r="I152" s="908"/>
      <c r="J152" s="30"/>
      <c r="K152" s="390"/>
      <c r="L152" s="387"/>
      <c r="M152" s="391"/>
    </row>
    <row r="153" spans="1:13" s="392" customFormat="1" ht="3" hidden="1" customHeight="1">
      <c r="A153" s="387"/>
      <c r="B153" s="388"/>
      <c r="C153" s="30"/>
      <c r="D153" s="30"/>
      <c r="E153" s="30"/>
      <c r="F153" s="30"/>
      <c r="G153" s="30"/>
      <c r="H153" s="30"/>
      <c r="I153" s="30"/>
      <c r="J153" s="30"/>
      <c r="K153" s="390"/>
      <c r="L153" s="387"/>
      <c r="M153" s="391"/>
    </row>
    <row r="154" spans="1:13" s="392" customFormat="1" ht="15" hidden="1" customHeight="1">
      <c r="A154" s="387"/>
      <c r="B154" s="388"/>
      <c r="C154" s="389" t="s">
        <v>57</v>
      </c>
      <c r="D154" s="30"/>
      <c r="E154" s="906">
        <v>0</v>
      </c>
      <c r="F154" s="907"/>
      <c r="G154" s="907"/>
      <c r="H154" s="907"/>
      <c r="I154" s="908"/>
      <c r="J154" s="30"/>
      <c r="K154" s="390"/>
      <c r="L154" s="387"/>
      <c r="M154" s="391"/>
    </row>
    <row r="155" spans="1:13" s="392" customFormat="1" ht="3" hidden="1" customHeight="1">
      <c r="A155" s="387"/>
      <c r="B155" s="388"/>
      <c r="C155" s="30"/>
      <c r="D155" s="30"/>
      <c r="E155" s="30"/>
      <c r="F155" s="30"/>
      <c r="G155" s="30"/>
      <c r="H155" s="30"/>
      <c r="I155" s="30"/>
      <c r="J155" s="30"/>
      <c r="K155" s="390"/>
      <c r="L155" s="387"/>
      <c r="M155" s="391"/>
    </row>
    <row r="156" spans="1:13" s="392" customFormat="1" ht="15" hidden="1" customHeight="1">
      <c r="A156" s="387"/>
      <c r="B156" s="388"/>
      <c r="C156" s="389" t="s">
        <v>58</v>
      </c>
      <c r="D156" s="30"/>
      <c r="E156" s="906">
        <v>0</v>
      </c>
      <c r="F156" s="907"/>
      <c r="G156" s="907"/>
      <c r="H156" s="907"/>
      <c r="I156" s="908"/>
      <c r="J156" s="30"/>
      <c r="K156" s="390"/>
      <c r="L156" s="387"/>
      <c r="M156" s="391"/>
    </row>
    <row r="157" spans="1:13" s="392" customFormat="1" ht="3" hidden="1" customHeight="1">
      <c r="A157" s="387"/>
      <c r="B157" s="388"/>
      <c r="C157" s="30"/>
      <c r="D157" s="30"/>
      <c r="E157" s="30"/>
      <c r="F157" s="30"/>
      <c r="G157" s="30"/>
      <c r="H157" s="30"/>
      <c r="I157" s="30"/>
      <c r="J157" s="30"/>
      <c r="K157" s="390"/>
      <c r="L157" s="387"/>
      <c r="M157" s="391"/>
    </row>
    <row r="158" spans="1:13" s="392" customFormat="1" ht="15" hidden="1" customHeight="1">
      <c r="A158" s="387"/>
      <c r="B158" s="388"/>
      <c r="C158" s="389" t="s">
        <v>59</v>
      </c>
      <c r="D158" s="30"/>
      <c r="E158" s="906">
        <v>0</v>
      </c>
      <c r="F158" s="907"/>
      <c r="G158" s="907"/>
      <c r="H158" s="907"/>
      <c r="I158" s="908"/>
      <c r="J158" s="30"/>
      <c r="K158" s="390"/>
      <c r="L158" s="387"/>
      <c r="M158" s="391"/>
    </row>
    <row r="159" spans="1:13" s="392" customFormat="1" ht="3" hidden="1" customHeight="1">
      <c r="A159" s="387"/>
      <c r="B159" s="388"/>
      <c r="C159" s="30"/>
      <c r="D159" s="30"/>
      <c r="E159" s="30"/>
      <c r="F159" s="30"/>
      <c r="G159" s="30"/>
      <c r="H159" s="30"/>
      <c r="I159" s="30"/>
      <c r="J159" s="30"/>
      <c r="K159" s="390"/>
      <c r="L159" s="387"/>
      <c r="M159" s="391"/>
    </row>
    <row r="160" spans="1:13" s="392" customFormat="1" ht="15" hidden="1" customHeight="1">
      <c r="A160" s="387"/>
      <c r="B160" s="388"/>
      <c r="C160" s="389" t="s">
        <v>60</v>
      </c>
      <c r="D160" s="30"/>
      <c r="E160" s="906">
        <v>0</v>
      </c>
      <c r="F160" s="907"/>
      <c r="G160" s="907"/>
      <c r="H160" s="907"/>
      <c r="I160" s="908"/>
      <c r="J160" s="30"/>
      <c r="K160" s="390"/>
      <c r="L160" s="387"/>
      <c r="M160" s="391"/>
    </row>
    <row r="161" spans="1:13" s="392" customFormat="1" ht="3" hidden="1" customHeight="1">
      <c r="A161" s="387"/>
      <c r="B161" s="388"/>
      <c r="C161" s="30"/>
      <c r="D161" s="30"/>
      <c r="E161" s="30"/>
      <c r="F161" s="30"/>
      <c r="G161" s="30"/>
      <c r="H161" s="30"/>
      <c r="I161" s="30"/>
      <c r="J161" s="30"/>
      <c r="K161" s="390"/>
      <c r="L161" s="387"/>
      <c r="M161" s="391"/>
    </row>
    <row r="162" spans="1:13" s="392" customFormat="1">
      <c r="A162" s="387"/>
      <c r="B162" s="388"/>
      <c r="C162" s="389" t="str">
        <f>'ACTA FINAL'!K4</f>
        <v>ACTA ÚNICA Y FINAL</v>
      </c>
      <c r="D162" s="30"/>
      <c r="E162" s="906"/>
      <c r="F162" s="907"/>
      <c r="G162" s="907"/>
      <c r="H162" s="907"/>
      <c r="I162" s="908"/>
      <c r="J162" s="30"/>
      <c r="K162" s="390"/>
      <c r="L162" s="387"/>
      <c r="M162" s="391"/>
    </row>
    <row r="163" spans="1:13" s="392" customFormat="1" ht="3" customHeight="1">
      <c r="A163" s="387"/>
      <c r="B163" s="388"/>
      <c r="C163" s="30"/>
      <c r="D163" s="30"/>
      <c r="E163" s="30"/>
      <c r="F163" s="30"/>
      <c r="G163" s="30"/>
      <c r="H163" s="30"/>
      <c r="I163" s="30"/>
      <c r="J163" s="30"/>
      <c r="K163" s="390"/>
      <c r="L163" s="387"/>
      <c r="M163" s="391"/>
    </row>
    <row r="164" spans="1:13" s="392" customFormat="1" ht="15" customHeight="1">
      <c r="A164" s="387"/>
      <c r="B164" s="388"/>
      <c r="C164" s="389" t="s">
        <v>53</v>
      </c>
      <c r="D164" s="30"/>
      <c r="E164" s="906"/>
      <c r="F164" s="907"/>
      <c r="G164" s="907"/>
      <c r="H164" s="907"/>
      <c r="I164" s="908"/>
      <c r="J164" s="30"/>
      <c r="K164" s="390"/>
      <c r="L164" s="387"/>
      <c r="M164" s="391"/>
    </row>
    <row r="165" spans="1:13" ht="3" customHeight="1" thickBot="1">
      <c r="A165" s="2"/>
      <c r="B165" s="22"/>
      <c r="C165" s="23"/>
      <c r="D165" s="23"/>
      <c r="E165" s="23"/>
      <c r="F165" s="23"/>
      <c r="G165" s="23"/>
      <c r="H165" s="23"/>
      <c r="I165" s="23"/>
      <c r="J165" s="23"/>
      <c r="K165" s="24"/>
      <c r="L165" s="2"/>
      <c r="M165" s="317"/>
    </row>
    <row r="166" spans="1:13" ht="9" customHeight="1" thickBot="1">
      <c r="A166" s="2"/>
      <c r="B166" s="2"/>
      <c r="C166" s="2"/>
      <c r="D166" s="2"/>
      <c r="E166" s="2"/>
      <c r="F166" s="2"/>
      <c r="G166" s="2"/>
      <c r="H166" s="2"/>
      <c r="I166" s="2"/>
      <c r="J166" s="2"/>
      <c r="K166" s="2"/>
      <c r="L166" s="2"/>
      <c r="M166" s="317"/>
    </row>
    <row r="167" spans="1:13" ht="3" customHeight="1">
      <c r="A167" s="2"/>
      <c r="B167" s="17"/>
      <c r="C167" s="18"/>
      <c r="D167" s="18"/>
      <c r="E167" s="18"/>
      <c r="F167" s="18"/>
      <c r="G167" s="18"/>
      <c r="H167" s="18"/>
      <c r="I167" s="18"/>
      <c r="J167" s="18"/>
      <c r="K167" s="19"/>
      <c r="L167" s="2"/>
      <c r="M167" s="317"/>
    </row>
    <row r="168" spans="1:13" ht="15" hidden="1" customHeight="1">
      <c r="A168" s="2"/>
      <c r="B168" s="20"/>
      <c r="C168" s="6" t="s">
        <v>393</v>
      </c>
      <c r="D168" s="4"/>
      <c r="E168" s="906"/>
      <c r="F168" s="907"/>
      <c r="G168" s="907"/>
      <c r="H168" s="907"/>
      <c r="I168" s="908"/>
      <c r="J168" s="4"/>
      <c r="K168" s="21"/>
      <c r="L168" s="2"/>
      <c r="M168" s="317"/>
    </row>
    <row r="169" spans="1:13" ht="3" hidden="1" customHeight="1">
      <c r="A169" s="2"/>
      <c r="B169" s="20"/>
      <c r="C169" s="4"/>
      <c r="D169" s="4"/>
      <c r="E169" s="4"/>
      <c r="F169" s="4"/>
      <c r="G169" s="4"/>
      <c r="H169" s="4"/>
      <c r="I169" s="4"/>
      <c r="J169" s="4"/>
      <c r="K169" s="21"/>
      <c r="L169" s="2"/>
      <c r="M169" s="317"/>
    </row>
    <row r="170" spans="1:13" ht="15" hidden="1" customHeight="1">
      <c r="A170" s="2"/>
      <c r="B170" s="20"/>
      <c r="C170" s="6" t="s">
        <v>393</v>
      </c>
      <c r="D170" s="4"/>
      <c r="E170" s="906"/>
      <c r="F170" s="907"/>
      <c r="G170" s="907"/>
      <c r="H170" s="907"/>
      <c r="I170" s="908"/>
      <c r="J170" s="4"/>
      <c r="K170" s="21"/>
      <c r="L170" s="2"/>
      <c r="M170" s="317"/>
    </row>
    <row r="171" spans="1:13" ht="3" hidden="1" customHeight="1">
      <c r="A171" s="2"/>
      <c r="B171" s="20"/>
      <c r="C171" s="4"/>
      <c r="D171" s="4"/>
      <c r="E171" s="4"/>
      <c r="F171" s="4"/>
      <c r="G171" s="4"/>
      <c r="H171" s="4"/>
      <c r="I171" s="4"/>
      <c r="J171" s="4"/>
      <c r="K171" s="21"/>
      <c r="L171" s="2"/>
      <c r="M171" s="317"/>
    </row>
    <row r="172" spans="1:13" ht="15" hidden="1" customHeight="1">
      <c r="A172" s="2"/>
      <c r="B172" s="20"/>
      <c r="C172" s="6" t="s">
        <v>393</v>
      </c>
      <c r="D172" s="4"/>
      <c r="E172" s="906"/>
      <c r="F172" s="907"/>
      <c r="G172" s="907"/>
      <c r="H172" s="907"/>
      <c r="I172" s="908"/>
      <c r="J172" s="4"/>
      <c r="K172" s="21"/>
      <c r="L172" s="2"/>
      <c r="M172" s="317"/>
    </row>
    <row r="173" spans="1:13" ht="3" customHeight="1">
      <c r="A173" s="2"/>
      <c r="B173" s="20"/>
      <c r="C173" s="4"/>
      <c r="D173" s="4"/>
      <c r="E173" s="4"/>
      <c r="F173" s="4"/>
      <c r="G173" s="4"/>
      <c r="H173" s="4"/>
      <c r="I173" s="4"/>
      <c r="J173" s="4"/>
      <c r="K173" s="21"/>
      <c r="L173" s="2"/>
      <c r="M173" s="317"/>
    </row>
    <row r="174" spans="1:13" ht="15" customHeight="1">
      <c r="A174" s="2"/>
      <c r="B174" s="20"/>
      <c r="C174" s="6" t="s">
        <v>80</v>
      </c>
      <c r="D174" s="4"/>
      <c r="E174" s="906">
        <v>42602</v>
      </c>
      <c r="F174" s="907"/>
      <c r="G174" s="907"/>
      <c r="H174" s="907"/>
      <c r="I174" s="908"/>
      <c r="J174" s="4"/>
      <c r="K174" s="21"/>
      <c r="L174" s="2"/>
      <c r="M174" s="317"/>
    </row>
    <row r="175" spans="1:13" ht="3" customHeight="1">
      <c r="A175" s="2"/>
      <c r="B175" s="20"/>
      <c r="C175" s="4"/>
      <c r="D175" s="4"/>
      <c r="E175" s="4"/>
      <c r="F175" s="4"/>
      <c r="G175" s="4"/>
      <c r="H175" s="4"/>
      <c r="I175" s="4"/>
      <c r="J175" s="4"/>
      <c r="K175" s="21"/>
      <c r="L175" s="2"/>
      <c r="M175" s="317"/>
    </row>
    <row r="176" spans="1:13" ht="15" customHeight="1">
      <c r="A176" s="2"/>
      <c r="B176" s="20"/>
      <c r="C176" s="6" t="s">
        <v>81</v>
      </c>
      <c r="D176" s="4"/>
      <c r="E176" s="906"/>
      <c r="F176" s="907"/>
      <c r="G176" s="907"/>
      <c r="H176" s="907"/>
      <c r="I176" s="908"/>
      <c r="J176" s="4"/>
      <c r="K176" s="21"/>
      <c r="L176" s="2"/>
      <c r="M176" s="317"/>
    </row>
    <row r="177" spans="1:13" ht="3" customHeight="1">
      <c r="A177" s="2"/>
      <c r="B177" s="20"/>
      <c r="C177" s="4"/>
      <c r="D177" s="4"/>
      <c r="E177" s="4"/>
      <c r="F177" s="4"/>
      <c r="G177" s="4"/>
      <c r="H177" s="4"/>
      <c r="I177" s="4"/>
      <c r="J177" s="4"/>
      <c r="K177" s="21"/>
      <c r="L177" s="2"/>
      <c r="M177" s="317"/>
    </row>
    <row r="178" spans="1:13" ht="15" customHeight="1">
      <c r="A178" s="2"/>
      <c r="B178" s="20"/>
      <c r="C178" s="6" t="s">
        <v>82</v>
      </c>
      <c r="D178" s="4"/>
      <c r="E178" s="906"/>
      <c r="F178" s="907"/>
      <c r="G178" s="907"/>
      <c r="H178" s="907"/>
      <c r="I178" s="908"/>
      <c r="J178" s="4"/>
      <c r="K178" s="21"/>
      <c r="L178" s="2"/>
      <c r="M178" s="317"/>
    </row>
    <row r="179" spans="1:13" ht="3" customHeight="1" thickBot="1">
      <c r="A179" s="2"/>
      <c r="B179" s="22"/>
      <c r="C179" s="23"/>
      <c r="D179" s="23"/>
      <c r="E179" s="23"/>
      <c r="F179" s="23"/>
      <c r="G179" s="23"/>
      <c r="H179" s="23"/>
      <c r="I179" s="23"/>
      <c r="J179" s="23"/>
      <c r="K179" s="24"/>
      <c r="L179" s="2"/>
      <c r="M179" s="317"/>
    </row>
    <row r="180" spans="1:13" ht="9" customHeight="1" thickBot="1">
      <c r="A180" s="2"/>
      <c r="B180" s="2"/>
      <c r="C180" s="2"/>
      <c r="D180" s="2"/>
      <c r="E180" s="2"/>
      <c r="F180" s="2"/>
      <c r="G180" s="2"/>
      <c r="H180" s="2"/>
      <c r="I180" s="2"/>
      <c r="J180" s="2"/>
      <c r="K180" s="2"/>
      <c r="L180" s="2"/>
      <c r="M180" s="317"/>
    </row>
    <row r="181" spans="1:13" ht="3" customHeight="1">
      <c r="A181" s="2"/>
      <c r="B181" s="17"/>
      <c r="C181" s="18"/>
      <c r="D181" s="18"/>
      <c r="E181" s="18"/>
      <c r="F181" s="18"/>
      <c r="G181" s="18"/>
      <c r="H181" s="18"/>
      <c r="I181" s="18"/>
      <c r="J181" s="18"/>
      <c r="K181" s="19"/>
      <c r="L181" s="2"/>
      <c r="M181" s="317"/>
    </row>
    <row r="182" spans="1:13" ht="15" customHeight="1">
      <c r="A182" s="2"/>
      <c r="B182" s="20"/>
      <c r="C182" s="151" t="s">
        <v>322</v>
      </c>
      <c r="D182" s="4"/>
      <c r="E182" s="4"/>
      <c r="F182" s="4"/>
      <c r="G182" s="4"/>
      <c r="H182" s="4"/>
      <c r="I182" s="4"/>
      <c r="J182" s="4"/>
      <c r="K182" s="21"/>
      <c r="L182" s="2"/>
      <c r="M182" s="317"/>
    </row>
    <row r="183" spans="1:13" ht="3" customHeight="1">
      <c r="A183" s="2"/>
      <c r="B183" s="20"/>
      <c r="C183" s="4"/>
      <c r="D183" s="4"/>
      <c r="E183" s="4"/>
      <c r="F183" s="4"/>
      <c r="G183" s="4"/>
      <c r="H183" s="4"/>
      <c r="I183" s="4"/>
      <c r="J183" s="4"/>
      <c r="K183" s="21"/>
      <c r="L183" s="2"/>
      <c r="M183" s="317"/>
    </row>
    <row r="184" spans="1:13" ht="15" customHeight="1">
      <c r="A184" s="2"/>
      <c r="B184" s="20"/>
      <c r="C184" s="4" t="s">
        <v>318</v>
      </c>
      <c r="D184" s="4"/>
      <c r="E184" s="152">
        <v>18.5</v>
      </c>
      <c r="F184" s="4"/>
      <c r="G184" s="4"/>
      <c r="H184" s="4"/>
      <c r="I184" s="4"/>
      <c r="J184" s="4"/>
      <c r="K184" s="21"/>
      <c r="L184" s="2"/>
      <c r="M184" s="317"/>
    </row>
    <row r="185" spans="1:13" ht="3" customHeight="1">
      <c r="A185" s="2"/>
      <c r="B185" s="20"/>
      <c r="C185" s="4"/>
      <c r="D185" s="4"/>
      <c r="E185" s="153"/>
      <c r="F185" s="4"/>
      <c r="G185" s="4"/>
      <c r="H185" s="4"/>
      <c r="I185" s="4"/>
      <c r="J185" s="4"/>
      <c r="K185" s="21"/>
      <c r="L185" s="2"/>
      <c r="M185" s="317"/>
    </row>
    <row r="186" spans="1:13" ht="15" customHeight="1">
      <c r="A186" s="2"/>
      <c r="B186" s="20"/>
      <c r="C186" s="4" t="s">
        <v>319</v>
      </c>
      <c r="D186" s="4"/>
      <c r="E186" s="152">
        <v>5</v>
      </c>
      <c r="F186" s="4"/>
      <c r="G186" s="4"/>
      <c r="H186" s="4"/>
      <c r="I186" s="4"/>
      <c r="J186" s="4"/>
      <c r="K186" s="21"/>
      <c r="L186" s="2"/>
      <c r="M186" s="317"/>
    </row>
    <row r="187" spans="1:13" ht="3" customHeight="1">
      <c r="A187" s="2"/>
      <c r="B187" s="20"/>
      <c r="C187" s="4"/>
      <c r="D187" s="4"/>
      <c r="E187" s="153"/>
      <c r="F187" s="4"/>
      <c r="G187" s="4"/>
      <c r="H187" s="4"/>
      <c r="I187" s="4"/>
      <c r="J187" s="4"/>
      <c r="K187" s="21"/>
      <c r="L187" s="2"/>
      <c r="M187" s="317"/>
    </row>
    <row r="188" spans="1:13">
      <c r="A188" s="2"/>
      <c r="B188" s="20"/>
      <c r="C188" s="4" t="s">
        <v>320</v>
      </c>
      <c r="D188" s="4"/>
      <c r="E188" s="152">
        <v>8</v>
      </c>
      <c r="F188" s="4"/>
      <c r="G188" s="4"/>
      <c r="H188" s="4"/>
      <c r="I188" s="4"/>
      <c r="J188" s="4"/>
      <c r="K188" s="21"/>
      <c r="L188" s="2"/>
      <c r="M188" s="317"/>
    </row>
    <row r="189" spans="1:13" ht="3" customHeight="1">
      <c r="A189" s="2"/>
      <c r="B189" s="20"/>
      <c r="C189" s="4"/>
      <c r="D189" s="4"/>
      <c r="E189" s="4"/>
      <c r="F189" s="4"/>
      <c r="G189" s="4"/>
      <c r="H189" s="4"/>
      <c r="I189" s="4"/>
      <c r="J189" s="4"/>
      <c r="K189" s="21"/>
      <c r="L189" s="2"/>
      <c r="M189" s="317"/>
    </row>
    <row r="190" spans="1:13">
      <c r="A190" s="2"/>
      <c r="B190" s="20"/>
      <c r="C190" s="4" t="s">
        <v>321</v>
      </c>
      <c r="D190" s="4"/>
      <c r="E190" s="4"/>
      <c r="F190" s="4"/>
      <c r="G190" s="4"/>
      <c r="H190" s="4"/>
      <c r="I190" s="4"/>
      <c r="J190" s="4"/>
      <c r="K190" s="21"/>
      <c r="L190" s="2"/>
      <c r="M190" s="317"/>
    </row>
    <row r="191" spans="1:13" ht="3" customHeight="1">
      <c r="A191" s="2"/>
      <c r="B191" s="20"/>
      <c r="C191" s="4"/>
      <c r="D191" s="4"/>
      <c r="E191" s="4"/>
      <c r="F191" s="4"/>
      <c r="G191" s="4"/>
      <c r="H191" s="4"/>
      <c r="I191" s="4"/>
      <c r="J191" s="4"/>
      <c r="K191" s="21"/>
      <c r="L191" s="2"/>
      <c r="M191" s="317"/>
    </row>
    <row r="192" spans="1:13">
      <c r="A192" s="2"/>
      <c r="B192" s="20"/>
      <c r="C192" s="4" t="s">
        <v>318</v>
      </c>
      <c r="D192" s="4"/>
      <c r="E192" s="152">
        <v>18.5</v>
      </c>
      <c r="F192" s="4"/>
      <c r="G192" s="4"/>
      <c r="H192" s="4"/>
      <c r="I192" s="4"/>
      <c r="J192" s="4"/>
      <c r="K192" s="21"/>
      <c r="L192" s="2"/>
      <c r="M192" s="317"/>
    </row>
    <row r="193" spans="1:13" ht="3" customHeight="1" thickBot="1">
      <c r="A193" s="2"/>
      <c r="B193" s="22"/>
      <c r="C193" s="23"/>
      <c r="D193" s="23"/>
      <c r="E193" s="23"/>
      <c r="F193" s="23"/>
      <c r="G193" s="23"/>
      <c r="H193" s="23"/>
      <c r="I193" s="23"/>
      <c r="J193" s="23"/>
      <c r="K193" s="24"/>
      <c r="L193" s="2"/>
      <c r="M193" s="317"/>
    </row>
    <row r="194" spans="1:13">
      <c r="A194" s="2"/>
      <c r="B194" s="2"/>
      <c r="C194" s="2"/>
      <c r="D194" s="2"/>
      <c r="E194" s="2"/>
      <c r="F194" s="2"/>
      <c r="G194" s="2"/>
      <c r="H194" s="2"/>
      <c r="I194" s="2"/>
      <c r="J194" s="2"/>
      <c r="K194" s="2"/>
      <c r="L194" s="2"/>
      <c r="M194" s="317"/>
    </row>
    <row r="195" spans="1:13" ht="3" customHeight="1">
      <c r="A195" s="2"/>
      <c r="B195" s="2"/>
      <c r="C195" s="2"/>
      <c r="D195" s="2"/>
      <c r="E195" s="2"/>
      <c r="F195" s="2"/>
      <c r="G195" s="2"/>
      <c r="H195" s="2"/>
      <c r="I195" s="2"/>
      <c r="J195" s="2"/>
      <c r="K195" s="2"/>
      <c r="L195" s="2"/>
      <c r="M195" s="317"/>
    </row>
    <row r="196" spans="1:13">
      <c r="A196" s="2"/>
      <c r="B196" s="2"/>
      <c r="C196" s="2"/>
      <c r="D196" s="2"/>
      <c r="E196" s="2"/>
      <c r="F196" s="2"/>
      <c r="G196" s="2"/>
      <c r="H196" s="2"/>
      <c r="I196" s="2"/>
      <c r="J196" s="2"/>
      <c r="K196" s="2"/>
      <c r="L196" s="2"/>
      <c r="M196" s="317"/>
    </row>
    <row r="197" spans="1:13" ht="3" customHeight="1">
      <c r="A197" s="2"/>
      <c r="B197" s="2"/>
      <c r="C197" s="2"/>
      <c r="D197" s="2"/>
      <c r="E197" s="2"/>
      <c r="F197" s="2"/>
      <c r="G197" s="2"/>
      <c r="H197" s="2"/>
      <c r="I197" s="2"/>
      <c r="J197" s="2"/>
      <c r="K197" s="2"/>
      <c r="L197" s="2"/>
      <c r="M197" s="317"/>
    </row>
    <row r="198" spans="1:13">
      <c r="A198" s="2"/>
      <c r="B198" s="2"/>
      <c r="C198" s="2"/>
      <c r="D198" s="2"/>
      <c r="E198" s="2"/>
      <c r="F198" s="2"/>
      <c r="G198" s="2"/>
      <c r="H198" s="2"/>
      <c r="I198" s="2"/>
      <c r="J198" s="2"/>
      <c r="K198" s="2"/>
      <c r="L198" s="2"/>
      <c r="M198" s="317"/>
    </row>
    <row r="199" spans="1:13" ht="3" customHeight="1">
      <c r="A199" s="2"/>
      <c r="B199" s="2"/>
      <c r="C199" s="2"/>
      <c r="D199" s="2"/>
      <c r="E199" s="2"/>
      <c r="F199" s="2"/>
      <c r="G199" s="2"/>
      <c r="H199" s="2"/>
      <c r="I199" s="2"/>
      <c r="J199" s="2"/>
      <c r="K199" s="2"/>
      <c r="L199" s="2"/>
      <c r="M199" s="317"/>
    </row>
    <row r="200" spans="1:13">
      <c r="A200" s="2"/>
      <c r="B200" s="2"/>
      <c r="C200" s="2"/>
      <c r="D200" s="2"/>
      <c r="E200" s="2"/>
      <c r="F200" s="2"/>
      <c r="G200" s="2"/>
      <c r="H200" s="2"/>
      <c r="I200" s="2"/>
      <c r="J200" s="2"/>
      <c r="K200" s="2"/>
      <c r="L200" s="2"/>
      <c r="M200" s="317"/>
    </row>
    <row r="201" spans="1:13" ht="3" customHeight="1">
      <c r="A201" s="2"/>
      <c r="B201" s="2"/>
      <c r="C201" s="2"/>
      <c r="D201" s="2"/>
      <c r="E201" s="2"/>
      <c r="F201" s="2"/>
      <c r="G201" s="2"/>
      <c r="H201" s="2"/>
      <c r="I201" s="2"/>
      <c r="J201" s="2"/>
      <c r="K201" s="2"/>
      <c r="L201" s="2"/>
      <c r="M201" s="317"/>
    </row>
    <row r="202" spans="1:13">
      <c r="A202" s="2"/>
      <c r="B202" s="2"/>
      <c r="C202" s="2"/>
      <c r="D202" s="2"/>
      <c r="E202" s="2"/>
      <c r="F202" s="2"/>
      <c r="G202" s="2"/>
      <c r="H202" s="2"/>
      <c r="I202" s="2"/>
      <c r="J202" s="2"/>
      <c r="K202" s="2"/>
      <c r="L202" s="2"/>
      <c r="M202" s="317"/>
    </row>
    <row r="203" spans="1:13" ht="3" customHeight="1">
      <c r="A203" s="2"/>
      <c r="B203" s="2"/>
      <c r="C203" s="2"/>
      <c r="D203" s="2"/>
      <c r="E203" s="2"/>
      <c r="F203" s="2"/>
      <c r="G203" s="2"/>
      <c r="H203" s="2"/>
      <c r="I203" s="2"/>
      <c r="J203" s="2"/>
      <c r="K203" s="2"/>
      <c r="L203" s="2"/>
      <c r="M203" s="317"/>
    </row>
  </sheetData>
  <sheetProtection insertRows="0" deleteRows="0" selectLockedCells="1"/>
  <mergeCells count="79">
    <mergeCell ref="N63:R63"/>
    <mergeCell ref="E65:I65"/>
    <mergeCell ref="E67:I67"/>
    <mergeCell ref="E36:I36"/>
    <mergeCell ref="E136:I136"/>
    <mergeCell ref="G44:I44"/>
    <mergeCell ref="E40:I40"/>
    <mergeCell ref="E42:I42"/>
    <mergeCell ref="E46:I46"/>
    <mergeCell ref="E48:G48"/>
    <mergeCell ref="E60:I60"/>
    <mergeCell ref="G66:I66"/>
    <mergeCell ref="G68:I68"/>
    <mergeCell ref="E62:I62"/>
    <mergeCell ref="E63:I63"/>
    <mergeCell ref="E138:I138"/>
    <mergeCell ref="E140:I140"/>
    <mergeCell ref="E142:I142"/>
    <mergeCell ref="E114:I114"/>
    <mergeCell ref="E38:I38"/>
    <mergeCell ref="E72:I72"/>
    <mergeCell ref="E74:I74"/>
    <mergeCell ref="E108:I108"/>
    <mergeCell ref="E80:I80"/>
    <mergeCell ref="E84:I84"/>
    <mergeCell ref="E86:I86"/>
    <mergeCell ref="E96:I96"/>
    <mergeCell ref="E98:I98"/>
    <mergeCell ref="E102:I102"/>
    <mergeCell ref="E90:I90"/>
    <mergeCell ref="E92:I92"/>
    <mergeCell ref="G20:I20"/>
    <mergeCell ref="G24:I24"/>
    <mergeCell ref="E22:I22"/>
    <mergeCell ref="E32:I32"/>
    <mergeCell ref="G30:I30"/>
    <mergeCell ref="E26:I26"/>
    <mergeCell ref="G28:I28"/>
    <mergeCell ref="B2:K2"/>
    <mergeCell ref="E10:I10"/>
    <mergeCell ref="E14:I14"/>
    <mergeCell ref="G16:I16"/>
    <mergeCell ref="E8:I8"/>
    <mergeCell ref="B4:K4"/>
    <mergeCell ref="B5:K5"/>
    <mergeCell ref="B7:K7"/>
    <mergeCell ref="B3:K3"/>
    <mergeCell ref="E34:I34"/>
    <mergeCell ref="E54:I54"/>
    <mergeCell ref="E50:I50"/>
    <mergeCell ref="E52:I52"/>
    <mergeCell ref="E144:I144"/>
    <mergeCell ref="B57:K57"/>
    <mergeCell ref="G64:I64"/>
    <mergeCell ref="E132:I132"/>
    <mergeCell ref="E120:I120"/>
    <mergeCell ref="E122:I122"/>
    <mergeCell ref="E126:I126"/>
    <mergeCell ref="E128:I128"/>
    <mergeCell ref="E104:I104"/>
    <mergeCell ref="E110:I110"/>
    <mergeCell ref="E78:I78"/>
    <mergeCell ref="E116:I116"/>
    <mergeCell ref="E158:I158"/>
    <mergeCell ref="E160:I160"/>
    <mergeCell ref="E164:I164"/>
    <mergeCell ref="E146:I146"/>
    <mergeCell ref="E148:I148"/>
    <mergeCell ref="E150:I150"/>
    <mergeCell ref="E152:I152"/>
    <mergeCell ref="E154:I154"/>
    <mergeCell ref="E156:I156"/>
    <mergeCell ref="E162:I162"/>
    <mergeCell ref="E178:I178"/>
    <mergeCell ref="E168:I168"/>
    <mergeCell ref="E170:I170"/>
    <mergeCell ref="E172:I172"/>
    <mergeCell ref="E174:I174"/>
    <mergeCell ref="E176:I176"/>
  </mergeCells>
  <conditionalFormatting sqref="E142:I142">
    <cfRule type="expression" dxfId="361" priority="13">
      <formula>$E$142=0</formula>
    </cfRule>
  </conditionalFormatting>
  <conditionalFormatting sqref="E146:I146">
    <cfRule type="expression" dxfId="360" priority="12">
      <formula>$E$146=0</formula>
    </cfRule>
  </conditionalFormatting>
  <conditionalFormatting sqref="E144:I144">
    <cfRule type="expression" dxfId="359" priority="11">
      <formula>$E$144=0</formula>
    </cfRule>
  </conditionalFormatting>
  <conditionalFormatting sqref="E150:I150">
    <cfRule type="expression" dxfId="358" priority="10">
      <formula>$E$150=0</formula>
    </cfRule>
  </conditionalFormatting>
  <conditionalFormatting sqref="E152:I152">
    <cfRule type="expression" dxfId="357" priority="9">
      <formula>$E$152=0</formula>
    </cfRule>
  </conditionalFormatting>
  <conditionalFormatting sqref="E154:I154">
    <cfRule type="expression" dxfId="356" priority="8">
      <formula>$E$154=0</formula>
    </cfRule>
  </conditionalFormatting>
  <conditionalFormatting sqref="E156:I156">
    <cfRule type="expression" dxfId="355" priority="7">
      <formula>$E$156=0</formula>
    </cfRule>
  </conditionalFormatting>
  <conditionalFormatting sqref="E158:I158">
    <cfRule type="expression" dxfId="354" priority="6">
      <formula>$E$158=0</formula>
    </cfRule>
  </conditionalFormatting>
  <conditionalFormatting sqref="E160:I160">
    <cfRule type="expression" dxfId="353" priority="5">
      <formula>$E$160=0</formula>
    </cfRule>
  </conditionalFormatting>
  <conditionalFormatting sqref="E148:I148">
    <cfRule type="expression" dxfId="352" priority="4">
      <formula>$E$148=0</formula>
    </cfRule>
  </conditionalFormatting>
  <conditionalFormatting sqref="E136:I136">
    <cfRule type="expression" dxfId="351" priority="3">
      <formula>$E$136=0</formula>
    </cfRule>
  </conditionalFormatting>
  <conditionalFormatting sqref="E138:I138">
    <cfRule type="expression" dxfId="350" priority="2">
      <formula>$E$138=0</formula>
    </cfRule>
  </conditionalFormatting>
  <conditionalFormatting sqref="E140:I140">
    <cfRule type="expression" dxfId="349" priority="1">
      <formula>$E$140=0</formula>
    </cfRule>
  </conditionalFormatting>
  <dataValidations xWindow="1056" yWindow="603" count="3">
    <dataValidation type="list" allowBlank="1" showInputMessage="1" showErrorMessage="1" sqref="E76 E124 E118 E112 E106 E100 E94 E88 E82">
      <formula1>$A$64:$A$65</formula1>
    </dataValidation>
    <dataValidation allowBlank="1" showInputMessage="1" showErrorMessage="1" promptTitle="EMCASERVICIOS S.A. E.S.P." prompt="Ingresar DD-MM-AA" sqref="E14:I14 E54:I54 E52:I52 E50:I50"/>
    <dataValidation allowBlank="1" showInputMessage="1" showErrorMessage="1" promptTitle="EMCASERVICIOS S.A. E.S.P." prompt="Digite el porcentaje de anticipo" sqref="I48"/>
  </dataValidations>
  <printOptions horizontalCentered="1"/>
  <pageMargins left="0.19685039370078741" right="0.19685039370078741" top="0.19685039370078741" bottom="0.19685039370078741" header="0.31496062992125984" footer="0.31496062992125984"/>
  <pageSetup scale="62" orientation="portrait" r:id="rId1"/>
  <rowBreaks count="1" manualBreakCount="1">
    <brk id="165" max="11" man="1"/>
  </rowBreaks>
  <drawing r:id="rId2"/>
  <extLst>
    <ext xmlns:x14="http://schemas.microsoft.com/office/spreadsheetml/2009/9/main" uri="{CCE6A557-97BC-4b89-ADB6-D9C93CAAB3DF}">
      <x14:dataValidations xmlns:xm="http://schemas.microsoft.com/office/excel/2006/main" xWindow="1056" yWindow="603" count="10">
        <x14:dataValidation type="list" allowBlank="1" showInputMessage="1" showErrorMessage="1">
          <x14:formula1>
            <xm:f>AUX!$A$2:$A$6</xm:f>
          </x14:formula1>
          <xm:sqref>E11:I11</xm:sqref>
        </x14:dataValidation>
        <x14:dataValidation type="list" allowBlank="1" showInputMessage="1" showErrorMessage="1">
          <x14:formula1>
            <xm:f>AUX!$D$9:$D$10</xm:f>
          </x14:formula1>
          <xm:sqref>E22</xm:sqref>
        </x14:dataValidation>
        <x14:dataValidation type="list" allowBlank="1" showInputMessage="1" showErrorMessage="1">
          <x14:formula1>
            <xm:f>AUX!$E$9:$E$14</xm:f>
          </x14:formula1>
          <xm:sqref>E34:I34</xm:sqref>
        </x14:dataValidation>
        <x14:dataValidation type="list" allowBlank="1" showInputMessage="1" showErrorMessage="1">
          <x14:formula1>
            <xm:f>AUX!$D$2:$D$3</xm:f>
          </x14:formula1>
          <xm:sqref>G44</xm:sqref>
        </x14:dataValidation>
        <x14:dataValidation type="list" allowBlank="1" showInputMessage="1" showErrorMessage="1">
          <x14:formula1>
            <xm:f>AUX!$E$2:$E$3</xm:f>
          </x14:formula1>
          <xm:sqref>G64:I64</xm:sqref>
        </x14:dataValidation>
        <x14:dataValidation type="list" allowBlank="1" showInputMessage="1" showErrorMessage="1">
          <x14:formula1>
            <xm:f>AUX!$F$2:$F$3</xm:f>
          </x14:formula1>
          <xm:sqref>G66:I66</xm:sqref>
        </x14:dataValidation>
        <x14:dataValidation type="list" allowBlank="1" showInputMessage="1" showErrorMessage="1">
          <x14:formula1>
            <xm:f>AUX!$G$2:$G$3</xm:f>
          </x14:formula1>
          <xm:sqref>G68:I69</xm:sqref>
        </x14:dataValidation>
        <x14:dataValidation type="list" allowBlank="1" showInputMessage="1" showErrorMessage="1">
          <x14:formula1>
            <xm:f>AUX!$H$2:$H$10</xm:f>
          </x14:formula1>
          <xm:sqref>E30 E16 E28 E24 E20</xm:sqref>
        </x14:dataValidation>
        <x14:dataValidation type="list" allowBlank="1" showInputMessage="1" showErrorMessage="1">
          <x14:formula1>
            <xm:f>AUX!$J$2:$J$43</xm:f>
          </x14:formula1>
          <xm:sqref>E8:I8</xm:sqref>
        </x14:dataValidation>
        <x14:dataValidation type="list" allowBlank="1" showInputMessage="1" showErrorMessage="1">
          <x14:formula1>
            <xm:f>AUX!$A$2:$A$9</xm:f>
          </x14:formula1>
          <xm:sqref>E10:I10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A1:M162"/>
  <sheetViews>
    <sheetView topLeftCell="A58" zoomScaleNormal="100" workbookViewId="0">
      <selection activeCell="K55" sqref="K55"/>
    </sheetView>
  </sheetViews>
  <sheetFormatPr baseColWidth="10" defaultColWidth="13.7109375" defaultRowHeight="12"/>
  <cols>
    <col min="1" max="1" width="7.7109375" style="81" customWidth="1"/>
    <col min="2" max="2" width="54.5703125" style="82" customWidth="1"/>
    <col min="3" max="3" width="5.7109375" style="81" customWidth="1"/>
    <col min="4" max="4" width="9.140625" style="83" customWidth="1"/>
    <col min="5" max="5" width="14.7109375" style="83" customWidth="1"/>
    <col min="6" max="6" width="15.85546875" style="83" customWidth="1"/>
    <col min="7" max="7" width="13.42578125" style="82" customWidth="1"/>
    <col min="8" max="8" width="14.7109375" style="82" customWidth="1"/>
    <col min="9" max="9" width="13.28515625" style="82" customWidth="1"/>
    <col min="10" max="10" width="21.28515625" style="82" customWidth="1"/>
    <col min="11" max="12" width="15.28515625" style="82" customWidth="1"/>
    <col min="13" max="13" width="4.7109375" style="82" customWidth="1"/>
    <col min="14" max="16384" width="13.7109375" style="82"/>
  </cols>
  <sheetData>
    <row r="1" spans="1:12" ht="14.45" customHeight="1">
      <c r="A1" s="1049" t="s">
        <v>246</v>
      </c>
      <c r="B1" s="1050"/>
      <c r="C1" s="1051" t="str">
        <f>"MUNICIPIO DE "&amp;DATOS!E8</f>
        <v xml:space="preserve">MUNICIPIO DE </v>
      </c>
      <c r="D1" s="1052"/>
      <c r="E1" s="1052"/>
      <c r="F1" s="1052"/>
      <c r="G1" s="1052"/>
      <c r="H1" s="1052"/>
      <c r="I1" s="1052"/>
      <c r="J1" s="1052"/>
      <c r="K1" s="129" t="s">
        <v>90</v>
      </c>
      <c r="L1" s="130" t="s">
        <v>84</v>
      </c>
    </row>
    <row r="2" spans="1:12" ht="12" customHeight="1">
      <c r="A2" s="1050"/>
      <c r="B2" s="1050"/>
      <c r="C2" s="103" t="str">
        <f>DATOS!E10&amp;" No.:"</f>
        <v xml:space="preserve"> No.:</v>
      </c>
      <c r="D2" s="104"/>
      <c r="E2" s="105"/>
      <c r="F2" s="1053" t="str">
        <f>DATOS!E12&amp;" "&amp;DATOS!G12&amp;" "&amp;DATOS!I12</f>
        <v xml:space="preserve">  </v>
      </c>
      <c r="G2" s="1055"/>
      <c r="H2" s="103" t="s">
        <v>184</v>
      </c>
      <c r="I2" s="105"/>
      <c r="J2" s="109">
        <f>DATOS!E52</f>
        <v>0</v>
      </c>
      <c r="K2" s="129" t="s">
        <v>89</v>
      </c>
      <c r="L2" s="130" t="s">
        <v>248</v>
      </c>
    </row>
    <row r="3" spans="1:12" ht="12" customHeight="1">
      <c r="A3" s="1050"/>
      <c r="B3" s="1050"/>
      <c r="C3" s="98" t="s">
        <v>4</v>
      </c>
      <c r="D3" s="99"/>
      <c r="E3" s="100"/>
      <c r="F3" s="1053">
        <f>DATOS!G16</f>
        <v>0</v>
      </c>
      <c r="G3" s="1055"/>
      <c r="H3" s="103" t="s">
        <v>236</v>
      </c>
      <c r="I3" s="105"/>
      <c r="J3" s="110">
        <f>DATOS!E72</f>
        <v>42428</v>
      </c>
      <c r="K3" s="129" t="s">
        <v>247</v>
      </c>
      <c r="L3" s="130" t="s">
        <v>249</v>
      </c>
    </row>
    <row r="4" spans="1:12" ht="12" customHeight="1">
      <c r="A4" s="1050"/>
      <c r="B4" s="1050"/>
      <c r="C4" s="98" t="s">
        <v>5</v>
      </c>
      <c r="D4" s="99"/>
      <c r="E4" s="100"/>
      <c r="F4" s="1053" t="str">
        <f>IF(DATOS!E16="Persona Jurídica",DATOS!G20," ")</f>
        <v xml:space="preserve"> </v>
      </c>
      <c r="G4" s="1055"/>
      <c r="H4" s="103" t="s">
        <v>241</v>
      </c>
      <c r="I4" s="105"/>
      <c r="J4" s="106">
        <f>DATOS!E74</f>
        <v>42459</v>
      </c>
      <c r="K4" s="1062" t="s">
        <v>375</v>
      </c>
      <c r="L4" s="1063"/>
    </row>
    <row r="5" spans="1:12" ht="12" customHeight="1">
      <c r="A5" s="1050"/>
      <c r="B5" s="1050"/>
      <c r="C5" s="98" t="s">
        <v>105</v>
      </c>
      <c r="D5" s="99"/>
      <c r="E5" s="100"/>
      <c r="F5" s="1053">
        <f>LOOKUP(C5,DATOS!C24:C30,DATOS!G24:G30)</f>
        <v>0</v>
      </c>
      <c r="G5" s="1055"/>
      <c r="H5" s="103" t="s">
        <v>237</v>
      </c>
      <c r="I5" s="105"/>
      <c r="J5" s="106">
        <f>DATOS!E78</f>
        <v>42491</v>
      </c>
      <c r="K5" s="1062"/>
      <c r="L5" s="1063"/>
    </row>
    <row r="6" spans="1:12" ht="12" customHeight="1">
      <c r="A6" s="1050"/>
      <c r="B6" s="1050"/>
      <c r="C6" s="98" t="s">
        <v>5</v>
      </c>
      <c r="D6" s="99"/>
      <c r="E6" s="100"/>
      <c r="F6" s="1053" t="str">
        <f>IF(DATOS!E24="Persona Jurídica",DATOS!G28," ")</f>
        <v xml:space="preserve"> </v>
      </c>
      <c r="G6" s="1055"/>
      <c r="H6" s="103" t="s">
        <v>242</v>
      </c>
      <c r="I6" s="105"/>
      <c r="J6" s="106">
        <f>DATOS!E80</f>
        <v>42916</v>
      </c>
      <c r="K6" s="1062"/>
      <c r="L6" s="1063"/>
    </row>
    <row r="7" spans="1:12" ht="12" customHeight="1">
      <c r="A7" s="1050"/>
      <c r="B7" s="1050"/>
      <c r="C7" s="98" t="s">
        <v>185</v>
      </c>
      <c r="D7" s="99"/>
      <c r="E7" s="100"/>
      <c r="F7" s="1041">
        <f>DATOS!E46</f>
        <v>0</v>
      </c>
      <c r="G7" s="1043"/>
      <c r="H7" s="103" t="s">
        <v>238</v>
      </c>
      <c r="I7" s="105"/>
      <c r="J7" s="106">
        <f>DATOS!E84</f>
        <v>42541</v>
      </c>
      <c r="K7" s="1062"/>
      <c r="L7" s="1063"/>
    </row>
    <row r="8" spans="1:12" ht="12" customHeight="1">
      <c r="A8" s="1050"/>
      <c r="B8" s="1050"/>
      <c r="C8" s="98" t="s">
        <v>77</v>
      </c>
      <c r="D8" s="99"/>
      <c r="E8" s="100"/>
      <c r="F8" s="1041">
        <f>DATOS!E60</f>
        <v>30000000</v>
      </c>
      <c r="G8" s="1043"/>
      <c r="H8" s="103" t="s">
        <v>243</v>
      </c>
      <c r="I8" s="105"/>
      <c r="J8" s="106">
        <f>DATOS!E86</f>
        <v>42546</v>
      </c>
      <c r="K8" s="1062"/>
      <c r="L8" s="1063"/>
    </row>
    <row r="9" spans="1:12" ht="12" customHeight="1">
      <c r="A9" s="1050"/>
      <c r="B9" s="1050"/>
      <c r="C9" s="98" t="s">
        <v>78</v>
      </c>
      <c r="D9" s="99"/>
      <c r="E9" s="100"/>
      <c r="F9" s="1041">
        <f>DATOS!E62</f>
        <v>0</v>
      </c>
      <c r="G9" s="1043"/>
      <c r="H9" s="103" t="s">
        <v>239</v>
      </c>
      <c r="I9" s="105"/>
      <c r="J9" s="106">
        <f>DATOS!E90</f>
        <v>0</v>
      </c>
      <c r="K9" s="1062"/>
      <c r="L9" s="1063"/>
    </row>
    <row r="10" spans="1:12" ht="12" customHeight="1">
      <c r="A10" s="1044" t="s">
        <v>8</v>
      </c>
      <c r="B10" s="1045">
        <f>DATOS!E38</f>
        <v>0</v>
      </c>
      <c r="C10" s="98" t="s">
        <v>186</v>
      </c>
      <c r="D10" s="99"/>
      <c r="E10" s="100"/>
      <c r="F10" s="1041">
        <f>F7+F8+F9</f>
        <v>30000000</v>
      </c>
      <c r="G10" s="1043"/>
      <c r="H10" s="103" t="s">
        <v>244</v>
      </c>
      <c r="I10" s="105"/>
      <c r="J10" s="106">
        <f>DATOS!E92</f>
        <v>0</v>
      </c>
      <c r="K10" s="1062"/>
      <c r="L10" s="1063"/>
    </row>
    <row r="11" spans="1:12" ht="12" customHeight="1">
      <c r="A11" s="1044"/>
      <c r="B11" s="1045"/>
      <c r="C11" s="98" t="s">
        <v>233</v>
      </c>
      <c r="D11" s="99"/>
      <c r="E11" s="100"/>
      <c r="F11" s="1046">
        <f>DATOS!E174</f>
        <v>42602</v>
      </c>
      <c r="G11" s="1048"/>
      <c r="H11" s="103" t="s">
        <v>240</v>
      </c>
      <c r="I11" s="105"/>
      <c r="J11" s="106"/>
      <c r="K11" s="1064"/>
      <c r="L11" s="1065"/>
    </row>
    <row r="12" spans="1:12" ht="12" customHeight="1">
      <c r="A12" s="1044"/>
      <c r="B12" s="1045"/>
      <c r="C12" s="98" t="s">
        <v>234</v>
      </c>
      <c r="D12" s="99"/>
      <c r="E12" s="100"/>
      <c r="F12" s="1046">
        <f>DATOS!E176</f>
        <v>0</v>
      </c>
      <c r="G12" s="1048"/>
      <c r="H12" s="103" t="s">
        <v>245</v>
      </c>
      <c r="I12" s="105"/>
      <c r="J12" s="106"/>
      <c r="K12" s="1073">
        <f>DATOS!E152</f>
        <v>0</v>
      </c>
      <c r="L12" s="1074"/>
    </row>
    <row r="13" spans="1:12" ht="12" customHeight="1">
      <c r="A13" s="1044"/>
      <c r="B13" s="1045"/>
      <c r="C13" s="98" t="s">
        <v>235</v>
      </c>
      <c r="D13" s="99"/>
      <c r="E13" s="100"/>
      <c r="F13" s="1046">
        <f>DATOS!E178</f>
        <v>0</v>
      </c>
      <c r="G13" s="1048"/>
      <c r="H13" s="103" t="s">
        <v>72</v>
      </c>
      <c r="I13" s="105"/>
      <c r="J13" s="107">
        <f>DATOS!E132</f>
        <v>614</v>
      </c>
      <c r="K13" s="1075"/>
      <c r="L13" s="1076"/>
    </row>
    <row r="14" spans="1:12">
      <c r="A14" s="84"/>
      <c r="B14" s="85"/>
      <c r="C14" s="84"/>
      <c r="D14" s="86"/>
      <c r="E14" s="86"/>
      <c r="F14" s="86"/>
      <c r="G14" s="85"/>
      <c r="H14" s="85"/>
      <c r="I14" s="85"/>
      <c r="J14" s="85"/>
      <c r="K14" s="85"/>
      <c r="L14" s="85"/>
    </row>
    <row r="15" spans="1:12">
      <c r="A15" s="1040" t="s">
        <v>181</v>
      </c>
      <c r="B15" s="1040" t="s">
        <v>115</v>
      </c>
      <c r="C15" s="1147" t="s">
        <v>182</v>
      </c>
      <c r="D15" s="1148"/>
      <c r="E15" s="1148"/>
      <c r="F15" s="1149"/>
      <c r="G15" s="1139" t="s">
        <v>187</v>
      </c>
      <c r="H15" s="1140"/>
      <c r="I15" s="1141" t="s">
        <v>188</v>
      </c>
      <c r="J15" s="1142"/>
      <c r="K15" s="1143" t="s">
        <v>189</v>
      </c>
      <c r="L15" s="1143"/>
    </row>
    <row r="16" spans="1:12">
      <c r="A16" s="1040"/>
      <c r="B16" s="1040"/>
      <c r="C16" s="319" t="s">
        <v>164</v>
      </c>
      <c r="D16" s="96" t="s">
        <v>118</v>
      </c>
      <c r="E16" s="96" t="s">
        <v>180</v>
      </c>
      <c r="F16" s="96" t="s">
        <v>117</v>
      </c>
      <c r="G16" s="101" t="s">
        <v>317</v>
      </c>
      <c r="H16" s="101" t="s">
        <v>117</v>
      </c>
      <c r="I16" s="131" t="s">
        <v>317</v>
      </c>
      <c r="J16" s="131" t="s">
        <v>117</v>
      </c>
      <c r="K16" s="320" t="s">
        <v>317</v>
      </c>
      <c r="L16" s="320" t="s">
        <v>117</v>
      </c>
    </row>
    <row r="17" spans="1:13">
      <c r="A17" s="87" t="str">
        <f>IF(LOOKUP(M17,PPTO!$J$8:$J$269,PPTO!A$8:A$269)=0," ",LOOKUP(M17,PPTO!$J$8:$J$269,PPTO!A$8:A$269))</f>
        <v xml:space="preserve"> </v>
      </c>
      <c r="B17" s="88" t="str">
        <f>IF(LOOKUP(M17,PPTO!$J$8:J$269,PPTO!B$8:B$269)=0," ",LOOKUP(M17,PPTO!$J$8:J$269,PPTO!B$8:B$269))</f>
        <v xml:space="preserve"> </v>
      </c>
      <c r="C17" s="89" t="str">
        <f>IF(LOOKUP(M17,PPTO!$J$8:$J$269,PPTO!D$8:D$269)=0," ",LOOKUP(M17,PPTO!$J$8:$J$269,PPTO!D$8:D$269))</f>
        <v xml:space="preserve"> </v>
      </c>
      <c r="D17" s="90" t="str">
        <f>IF(LOOKUP(M17,PPTO!$J$8:$J$269,PPTO!D$8:D$269)=0," ",LOOKUP(M17,PPTO!$J$8:$J$269,PPTO!D$8:D$269))</f>
        <v xml:space="preserve"> </v>
      </c>
      <c r="E17" s="90" t="str">
        <f>IF(LOOKUP(M17,PPTO!$J$8:$J$269,PPTO!E$8:E$269)=0," ",LOOKUP(M17,PPTO!$J$8:$J$269,PPTO!E$8:E$269))</f>
        <v xml:space="preserve"> </v>
      </c>
      <c r="F17" s="90" t="str">
        <f>IF(LOOKUP(M17,PPTO!$J$8:$J$269,PPTO!F$8:F$269)=0," ",LOOKUP(M17,PPTO!$J$8:$J$269,PPTO!F$8:F$269))</f>
        <v xml:space="preserve"> </v>
      </c>
      <c r="G17" s="178"/>
      <c r="H17" s="102"/>
      <c r="I17" s="174"/>
      <c r="J17" s="102"/>
      <c r="K17" s="102"/>
      <c r="L17" s="102"/>
      <c r="M17" s="108">
        <v>1</v>
      </c>
    </row>
    <row r="18" spans="1:13">
      <c r="A18" s="87" t="str">
        <f>IF(LOOKUP(M18,PPTO!$J$8:$J$269,PPTO!A$8:A$269)=0," ",LOOKUP(M18,PPTO!$J$8:$J$269,PPTO!A$8:A$269))</f>
        <v xml:space="preserve"> </v>
      </c>
      <c r="B18" s="88" t="str">
        <f>IF(LOOKUP(M18,PPTO!$J$8:J$269,PPTO!B$8:B$269)=0," ",LOOKUP(M18,PPTO!$J$8:J$269,PPTO!B$8:B$269))</f>
        <v>PRESUPUESTO OBRA CIVIL</v>
      </c>
      <c r="C18" s="89" t="str">
        <f>IF(LOOKUP(M18,PPTO!$J$8:$J$269,PPTO!D$8:D$269)=0," ",LOOKUP(M18,PPTO!$J$8:$J$269,PPTO!D$8:D$269))</f>
        <v xml:space="preserve"> </v>
      </c>
      <c r="D18" s="90" t="str">
        <f>IF(LOOKUP(M18,PPTO!$J$8:$J$269,PPTO!D$8:D$269)=0," ",LOOKUP(M18,PPTO!$J$8:$J$269,PPTO!D$8:D$269))</f>
        <v xml:space="preserve"> </v>
      </c>
      <c r="E18" s="90" t="str">
        <f>IF(LOOKUP(M18,PPTO!$J$8:$J$269,PPTO!E$8:E$269)=0," ",LOOKUP(M18,PPTO!$J$8:$J$269,PPTO!E$8:E$269))</f>
        <v xml:space="preserve"> </v>
      </c>
      <c r="F18" s="90" t="str">
        <f>IF(LOOKUP(M18,PPTO!$J$8:$J$269,PPTO!H$8:H$269)=0," ",LOOKUP(M18,PPTO!$J$8:$J$269,PPTO!H$8:H$269))</f>
        <v xml:space="preserve"> </v>
      </c>
      <c r="G18" s="178"/>
      <c r="H18" s="102"/>
      <c r="I18" s="174"/>
      <c r="J18" s="102"/>
      <c r="K18" s="102"/>
      <c r="L18" s="102"/>
      <c r="M18" s="108">
        <f>M17+1</f>
        <v>2</v>
      </c>
    </row>
    <row r="19" spans="1:13">
      <c r="A19" s="92">
        <f>IF(LOOKUP(M19,PPTO!$J$8:$J$269,PPTO!A$8:A$269)=0," ",LOOKUP(M19,PPTO!$J$8:$J$269,PPTO!A$8:A$269))</f>
        <v>1</v>
      </c>
      <c r="B19" s="88" t="str">
        <f>IF(LOOKUP(M19,PPTO!$J$8:J$269,PPTO!B$8:B$269)=0," ",LOOKUP(M19,PPTO!$J$8:J$269,PPTO!B$8:B$269))</f>
        <v>PRELIMINARES</v>
      </c>
      <c r="C19" s="89" t="str">
        <f>IF(LOOKUP(M19,PPTO!$J$8:$J$269,PPTO!D$8:D$269)=0," ",LOOKUP(M19,PPTO!$J$8:$J$269,PPTO!D$8:D$269))</f>
        <v xml:space="preserve"> </v>
      </c>
      <c r="D19" s="90" t="str">
        <f>IF(LOOKUP(M19,PPTO!$J$8:$J$269,PPTO!E$8:E$269)=0," ",LOOKUP(M19,PPTO!$J$8:$J$269,PPTO!E$8:E$269))</f>
        <v xml:space="preserve"> </v>
      </c>
      <c r="E19" s="90" t="str">
        <f>IF(LOOKUP(M19,PPTO!$J$8:$J$269,PPTO!F$8:F$269)=0," ",LOOKUP(M19,PPTO!$J$8:$J$269,PPTO!F$8:F$269))</f>
        <v xml:space="preserve"> </v>
      </c>
      <c r="F19" s="90" t="str">
        <f>IF(LOOKUP(M19,PPTO!$J$8:$J$269,PPTO!H$8:H$269)=0," ",LOOKUP(M19,PPTO!$J$8:$J$269,PPTO!H$8:H$269))</f>
        <v xml:space="preserve"> </v>
      </c>
      <c r="G19" s="178"/>
      <c r="H19" s="102"/>
      <c r="I19" s="174"/>
      <c r="J19" s="102"/>
      <c r="K19" s="102"/>
      <c r="L19" s="102"/>
      <c r="M19" s="108">
        <f t="shared" ref="M19:M60" si="0">M18+1</f>
        <v>3</v>
      </c>
    </row>
    <row r="20" spans="1:13">
      <c r="A20" s="87" t="str">
        <f>IF(LOOKUP(M20,PPTO!$J$8:$J$269,PPTO!A$8:A$269)=0," ",LOOKUP(M20,PPTO!$J$8:$J$269,PPTO!A$8:A$269))</f>
        <v>1.02</v>
      </c>
      <c r="B20" s="91" t="str">
        <f>IF(LOOKUP(M20,PPTO!$J$8:J$269,PPTO!B$8:B$269)=0," ",LOOKUP(M20,PPTO!$J$8:J$269,PPTO!B$8:B$269))</f>
        <v xml:space="preserve"> </v>
      </c>
      <c r="C20" s="89" t="str">
        <f>IF(LOOKUP(M20,PPTO!$J$8:$J$269,PPTO!D$8:D$269)=0," ",LOOKUP(M20,PPTO!$J$8:$J$269,PPTO!D$8:D$269))</f>
        <v>ML</v>
      </c>
      <c r="D20" s="90" t="str">
        <f>IF(LOOKUP(M20,PPTO!$J$8:$J$269,PPTO!E$8:E$269)=0," ",LOOKUP(M20,PPTO!$J$8:$J$269,PPTO!E$8:E$269))</f>
        <v xml:space="preserve"> </v>
      </c>
      <c r="E20" s="90" t="str">
        <f>IF(LOOKUP(M20,PPTO!$J$8:$J$269,PPTO!F$8:F$269)=0," ",LOOKUP(M20,PPTO!$J$8:$J$269,PPTO!F$8:F$269))</f>
        <v xml:space="preserve"> </v>
      </c>
      <c r="F20" s="90" t="str">
        <f>IF(LOOKUP(M20,PPTO!$J$8:$J$269,PPTO!H$8:H$269)=0," ",LOOKUP(M20,PPTO!$J$8:$J$269,PPTO!H$8:H$269))</f>
        <v xml:space="preserve"> </v>
      </c>
      <c r="G20" s="178">
        <v>15000</v>
      </c>
      <c r="H20" s="102" t="e">
        <f>ROUND(G20*E20,0)</f>
        <v>#VALUE!</v>
      </c>
      <c r="I20" s="174">
        <v>0</v>
      </c>
      <c r="J20" s="102" t="e">
        <f>ROUND(I20*E20,0)</f>
        <v>#VALUE!</v>
      </c>
      <c r="K20" s="102" t="e">
        <f>I20+'ACTA PARCIAL No.5'!K20</f>
        <v>#REF!</v>
      </c>
      <c r="L20" s="102" t="e">
        <f>ROUND(K20*E20,0)</f>
        <v>#REF!</v>
      </c>
      <c r="M20" s="108">
        <f t="shared" si="0"/>
        <v>4</v>
      </c>
    </row>
    <row r="21" spans="1:13">
      <c r="A21" s="87">
        <f>IF(LOOKUP(M21,PPTO!$J$8:$J$269,PPTO!A$8:A$269)=0," ",LOOKUP(M21,PPTO!$J$8:$J$269,PPTO!A$8:A$269))</f>
        <v>2</v>
      </c>
      <c r="B21" s="91" t="str">
        <f>IF(LOOKUP(M21,PPTO!$J$8:J$269,PPTO!B$8:B$269)=0," ",LOOKUP(M21,PPTO!$J$8:J$269,PPTO!B$8:B$269))</f>
        <v>DEMOLICION Y ROTURAS</v>
      </c>
      <c r="C21" s="89" t="str">
        <f>IF(LOOKUP(M21,PPTO!$J$8:$J$269,PPTO!D$8:D$269)=0," ",LOOKUP(M21,PPTO!$J$8:$J$269,PPTO!D$8:D$269))</f>
        <v xml:space="preserve"> </v>
      </c>
      <c r="D21" s="90" t="str">
        <f>IF(LOOKUP(M21,PPTO!$J$8:$J$269,PPTO!E$8:E$269)=0," ",LOOKUP(M21,PPTO!$J$8:$J$269,PPTO!E$8:E$269))</f>
        <v xml:space="preserve"> </v>
      </c>
      <c r="E21" s="90" t="str">
        <f>IF(LOOKUP(M21,PPTO!$J$8:$J$269,PPTO!F$8:F$269)=0," ",LOOKUP(M21,PPTO!$J$8:$J$269,PPTO!F$8:F$269))</f>
        <v xml:space="preserve"> </v>
      </c>
      <c r="F21" s="90" t="str">
        <f>IF(LOOKUP(M21,PPTO!$J$8:$J$269,PPTO!H$8:H$269)=0," ",LOOKUP(M21,PPTO!$J$8:$J$269,PPTO!H$8:H$269))</f>
        <v xml:space="preserve"> </v>
      </c>
      <c r="G21" s="178"/>
      <c r="H21" s="102"/>
      <c r="I21" s="174"/>
      <c r="J21" s="102"/>
      <c r="K21" s="102"/>
      <c r="L21" s="102"/>
      <c r="M21" s="108">
        <f t="shared" si="0"/>
        <v>5</v>
      </c>
    </row>
    <row r="22" spans="1:13">
      <c r="A22" s="87" t="str">
        <f>IF(LOOKUP(M22,PPTO!$J$8:$J$269,PPTO!A$8:A$269)=0," ",LOOKUP(M22,PPTO!$J$8:$J$269,PPTO!A$8:A$269))</f>
        <v>2.01</v>
      </c>
      <c r="B22" s="91" t="str">
        <f>IF(LOOKUP(M22,PPTO!$J$8:J$269,PPTO!B$8:B$269)=0," ",LOOKUP(M22,PPTO!$J$8:J$269,PPTO!B$8:B$269))</f>
        <v xml:space="preserve"> </v>
      </c>
      <c r="C22" s="89" t="str">
        <f>IF(LOOKUP(M22,PPTO!$J$8:$J$269,PPTO!D$8:D$269)=0," ",LOOKUP(M22,PPTO!$J$8:$J$269,PPTO!D$8:D$269))</f>
        <v>ML</v>
      </c>
      <c r="D22" s="90" t="str">
        <f>IF(LOOKUP(M22,PPTO!$J$8:$J$269,PPTO!E$8:E$269)=0," ",LOOKUP(M22,PPTO!$J$8:$J$269,PPTO!E$8:E$269))</f>
        <v xml:space="preserve"> </v>
      </c>
      <c r="E22" s="90" t="str">
        <f>IF(LOOKUP(M22,PPTO!$J$8:$J$269,PPTO!F$8:F$269)=0," ",LOOKUP(M22,PPTO!$J$8:$J$269,PPTO!F$8:F$269))</f>
        <v xml:space="preserve"> </v>
      </c>
      <c r="F22" s="90" t="str">
        <f>IF(LOOKUP(M22,PPTO!$J$8:$J$269,PPTO!H$8:H$269)=0," ",LOOKUP(M22,PPTO!$J$8:$J$269,PPTO!H$8:H$269))</f>
        <v xml:space="preserve"> </v>
      </c>
      <c r="G22" s="178">
        <v>14696</v>
      </c>
      <c r="H22" s="102" t="e">
        <f t="shared" ref="H22:H60" si="1">ROUND(G22*E22,0)</f>
        <v>#VALUE!</v>
      </c>
      <c r="I22" s="174">
        <v>0</v>
      </c>
      <c r="J22" s="102" t="e">
        <f t="shared" ref="J22:J60" si="2">ROUND(I22*E22,0)</f>
        <v>#VALUE!</v>
      </c>
      <c r="K22" s="102" t="e">
        <f>I22+'ACTA PARCIAL No.5'!K22</f>
        <v>#REF!</v>
      </c>
      <c r="L22" s="102" t="e">
        <f t="shared" ref="L22:L60" si="3">ROUND(K22*E22,0)</f>
        <v>#REF!</v>
      </c>
      <c r="M22" s="108">
        <f t="shared" si="0"/>
        <v>6</v>
      </c>
    </row>
    <row r="23" spans="1:13">
      <c r="A23" s="87" t="str">
        <f>IF(LOOKUP(M23,PPTO!$J$8:$J$269,PPTO!A$8:A$269)=0," ",LOOKUP(M23,PPTO!$J$8:$J$269,PPTO!A$8:A$269))</f>
        <v>2.02</v>
      </c>
      <c r="B23" s="91" t="str">
        <f>IF(LOOKUP(M23,PPTO!$J$8:J$269,PPTO!B$8:B$269)=0," ",LOOKUP(M23,PPTO!$J$8:J$269,PPTO!B$8:B$269))</f>
        <v xml:space="preserve"> </v>
      </c>
      <c r="C23" s="89" t="str">
        <f>IF(LOOKUP(M23,PPTO!$J$8:$J$269,PPTO!D$8:D$269)=0," ",LOOKUP(M23,PPTO!$J$8:$J$269,PPTO!D$8:D$269))</f>
        <v>M2</v>
      </c>
      <c r="D23" s="90" t="str">
        <f>IF(LOOKUP(M23,PPTO!$J$8:$J$269,PPTO!E$8:E$269)=0," ",LOOKUP(M23,PPTO!$J$8:$J$269,PPTO!E$8:E$269))</f>
        <v xml:space="preserve"> </v>
      </c>
      <c r="E23" s="90" t="str">
        <f>IF(LOOKUP(M23,PPTO!$J$8:$J$269,PPTO!F$8:F$269)=0," ",LOOKUP(M23,PPTO!$J$8:$J$269,PPTO!F$8:F$269))</f>
        <v xml:space="preserve"> </v>
      </c>
      <c r="F23" s="90" t="str">
        <f>IF(LOOKUP(M23,PPTO!$J$8:$J$269,PPTO!H$8:H$269)=0," ",LOOKUP(M23,PPTO!$J$8:$J$269,PPTO!H$8:H$269))</f>
        <v xml:space="preserve"> </v>
      </c>
      <c r="G23" s="178">
        <v>4134</v>
      </c>
      <c r="H23" s="102" t="e">
        <f t="shared" si="1"/>
        <v>#VALUE!</v>
      </c>
      <c r="I23" s="174">
        <v>0</v>
      </c>
      <c r="J23" s="102" t="e">
        <f t="shared" si="2"/>
        <v>#VALUE!</v>
      </c>
      <c r="K23" s="102" t="e">
        <f>I23+'ACTA PARCIAL No.5'!K23</f>
        <v>#REF!</v>
      </c>
      <c r="L23" s="102" t="e">
        <f t="shared" si="3"/>
        <v>#REF!</v>
      </c>
      <c r="M23" s="108">
        <f t="shared" si="0"/>
        <v>7</v>
      </c>
    </row>
    <row r="24" spans="1:13">
      <c r="A24" s="87" t="str">
        <f>IF(LOOKUP(M24,PPTO!$J$8:$J$269,PPTO!A$8:A$269)=0," ",LOOKUP(M24,PPTO!$J$8:$J$269,PPTO!A$8:A$269))</f>
        <v>2.03</v>
      </c>
      <c r="B24" s="91" t="str">
        <f>IF(LOOKUP(M24,PPTO!$J$8:J$269,PPTO!B$8:B$269)=0," ",LOOKUP(M24,PPTO!$J$8:J$269,PPTO!B$8:B$269))</f>
        <v xml:space="preserve"> </v>
      </c>
      <c r="C24" s="89" t="str">
        <f>IF(LOOKUP(M24,PPTO!$J$8:$J$269,PPTO!D$8:D$269)=0," ",LOOKUP(M24,PPTO!$J$8:$J$269,PPTO!D$8:D$269))</f>
        <v>M2</v>
      </c>
      <c r="D24" s="90" t="str">
        <f>IF(LOOKUP(M24,PPTO!$J$8:$J$269,PPTO!E$8:E$269)=0," ",LOOKUP(M24,PPTO!$J$8:$J$269,PPTO!E$8:E$269))</f>
        <v xml:space="preserve"> </v>
      </c>
      <c r="E24" s="90" t="str">
        <f>IF(LOOKUP(M24,PPTO!$J$8:$J$269,PPTO!F$8:F$269)=0," ",LOOKUP(M24,PPTO!$J$8:$J$269,PPTO!F$8:F$269))</f>
        <v xml:space="preserve"> </v>
      </c>
      <c r="F24" s="90" t="str">
        <f>IF(LOOKUP(M24,PPTO!$J$8:$J$269,PPTO!H$8:H$269)=0," ",LOOKUP(M24,PPTO!$J$8:$J$269,PPTO!H$8:H$269))</f>
        <v xml:space="preserve"> </v>
      </c>
      <c r="G24" s="178">
        <v>14696</v>
      </c>
      <c r="H24" s="102" t="e">
        <f t="shared" si="1"/>
        <v>#VALUE!</v>
      </c>
      <c r="I24" s="174">
        <v>0</v>
      </c>
      <c r="J24" s="102" t="e">
        <f t="shared" si="2"/>
        <v>#VALUE!</v>
      </c>
      <c r="K24" s="102" t="e">
        <f>I24+'ACTA PARCIAL No.5'!K24</f>
        <v>#REF!</v>
      </c>
      <c r="L24" s="102" t="e">
        <f t="shared" si="3"/>
        <v>#REF!</v>
      </c>
      <c r="M24" s="108">
        <f t="shared" si="0"/>
        <v>8</v>
      </c>
    </row>
    <row r="25" spans="1:13">
      <c r="A25" s="87" t="str">
        <f>IF(LOOKUP(M25,PPTO!$J$8:$J$269,PPTO!A$8:A$269)=0," ",LOOKUP(M25,PPTO!$J$8:$J$269,PPTO!A$8:A$269))</f>
        <v>2.04</v>
      </c>
      <c r="B25" s="91" t="str">
        <f>IF(LOOKUP(M25,PPTO!$J$8:J$269,PPTO!B$8:B$269)=0," ",LOOKUP(M25,PPTO!$J$8:J$269,PPTO!B$8:B$269))</f>
        <v xml:space="preserve"> </v>
      </c>
      <c r="C25" s="89" t="str">
        <f>IF(LOOKUP(M25,PPTO!$J$8:$J$269,PPTO!D$8:D$269)=0," ",LOOKUP(M25,PPTO!$J$8:$J$269,PPTO!D$8:D$269))</f>
        <v>UND</v>
      </c>
      <c r="D25" s="90" t="str">
        <f>IF(LOOKUP(M25,PPTO!$J$8:$J$269,PPTO!E$8:E$269)=0," ",LOOKUP(M25,PPTO!$J$8:$J$269,PPTO!E$8:E$269))</f>
        <v xml:space="preserve"> </v>
      </c>
      <c r="E25" s="90" t="str">
        <f>IF(LOOKUP(M25,PPTO!$J$8:$J$269,PPTO!F$8:F$269)=0," ",LOOKUP(M25,PPTO!$J$8:$J$269,PPTO!F$8:F$269))</f>
        <v xml:space="preserve"> </v>
      </c>
      <c r="F25" s="90" t="str">
        <f>IF(LOOKUP(M25,PPTO!$J$8:$J$269,PPTO!H$8:H$269)=0," ",LOOKUP(M25,PPTO!$J$8:$J$269,PPTO!H$8:H$269))</f>
        <v xml:space="preserve"> </v>
      </c>
      <c r="G25" s="178">
        <v>200</v>
      </c>
      <c r="H25" s="102" t="e">
        <f t="shared" si="1"/>
        <v>#VALUE!</v>
      </c>
      <c r="I25" s="174">
        <v>0</v>
      </c>
      <c r="J25" s="102" t="e">
        <f t="shared" si="2"/>
        <v>#VALUE!</v>
      </c>
      <c r="K25" s="102" t="e">
        <f>I25+'ACTA PARCIAL No.5'!K25</f>
        <v>#REF!</v>
      </c>
      <c r="L25" s="102" t="e">
        <f t="shared" si="3"/>
        <v>#REF!</v>
      </c>
      <c r="M25" s="108">
        <f t="shared" si="0"/>
        <v>9</v>
      </c>
    </row>
    <row r="26" spans="1:13">
      <c r="A26" s="87">
        <f>IF(LOOKUP(M26,PPTO!$J$8:$J$269,PPTO!A$8:A$269)=0," ",LOOKUP(M26,PPTO!$J$8:$J$269,PPTO!A$8:A$269))</f>
        <v>3</v>
      </c>
      <c r="B26" s="91" t="str">
        <f>IF(LOOKUP(M26,PPTO!$J$8:J$269,PPTO!B$8:B$269)=0," ",LOOKUP(M26,PPTO!$J$8:J$269,PPTO!B$8:B$269))</f>
        <v>MOVIMIENTOS DE TIERRA</v>
      </c>
      <c r="C26" s="89" t="str">
        <f>IF(LOOKUP(M26,PPTO!$J$8:$J$269,PPTO!D$8:D$269)=0," ",LOOKUP(M26,PPTO!$J$8:$J$269,PPTO!D$8:D$269))</f>
        <v xml:space="preserve"> </v>
      </c>
      <c r="D26" s="90" t="str">
        <f>IF(LOOKUP(M26,PPTO!$J$8:$J$269,PPTO!E$8:E$269)=0," ",LOOKUP(M26,PPTO!$J$8:$J$269,PPTO!E$8:E$269))</f>
        <v xml:space="preserve"> </v>
      </c>
      <c r="E26" s="90" t="str">
        <f>IF(LOOKUP(M26,PPTO!$J$8:$J$269,PPTO!F$8:F$269)=0," ",LOOKUP(M26,PPTO!$J$8:$J$269,PPTO!F$8:F$269))</f>
        <v xml:space="preserve"> </v>
      </c>
      <c r="F26" s="90" t="str">
        <f>IF(LOOKUP(M26,PPTO!$J$8:$J$269,PPTO!H$8:H$269)=0," ",LOOKUP(M26,PPTO!$J$8:$J$269,PPTO!H$8:H$269))</f>
        <v xml:space="preserve"> </v>
      </c>
      <c r="G26" s="178"/>
      <c r="H26" s="102"/>
      <c r="I26" s="174"/>
      <c r="J26" s="102"/>
      <c r="K26" s="102"/>
      <c r="L26" s="102"/>
      <c r="M26" s="108">
        <f t="shared" si="0"/>
        <v>10</v>
      </c>
    </row>
    <row r="27" spans="1:13">
      <c r="A27" s="87" t="str">
        <f>IF(LOOKUP(M27,PPTO!$J$8:$J$269,PPTO!A$8:A$269)=0," ",LOOKUP(M27,PPTO!$J$8:$J$269,PPTO!A$8:A$269))</f>
        <v>3.01</v>
      </c>
      <c r="B27" s="91" t="str">
        <f>IF(LOOKUP(M27,PPTO!$J$8:J$269,PPTO!B$8:B$269)=0," ",LOOKUP(M27,PPTO!$J$8:J$269,PPTO!B$8:B$269))</f>
        <v xml:space="preserve"> </v>
      </c>
      <c r="C27" s="89" t="str">
        <f>IF(LOOKUP(M27,PPTO!$J$8:$J$269,PPTO!D$8:D$269)=0," ",LOOKUP(M27,PPTO!$J$8:$J$269,PPTO!D$8:D$269))</f>
        <v>M3</v>
      </c>
      <c r="D27" s="90" t="str">
        <f>IF(LOOKUP(M27,PPTO!$J$8:$J$269,PPTO!E$8:E$269)=0," ",LOOKUP(M27,PPTO!$J$8:$J$269,PPTO!E$8:E$269))</f>
        <v xml:space="preserve"> </v>
      </c>
      <c r="E27" s="90" t="str">
        <f>IF(LOOKUP(M27,PPTO!$J$8:$J$269,PPTO!F$8:F$269)=0," ",LOOKUP(M27,PPTO!$J$8:$J$269,PPTO!F$8:F$269))</f>
        <v xml:space="preserve"> </v>
      </c>
      <c r="F27" s="90" t="str">
        <f>IF(LOOKUP(M27,PPTO!$J$8:$J$269,PPTO!H$8:H$269)=0," ",LOOKUP(M27,PPTO!$J$8:$J$269,PPTO!H$8:H$269))</f>
        <v xml:space="preserve"> </v>
      </c>
      <c r="G27" s="178">
        <v>243</v>
      </c>
      <c r="H27" s="102" t="e">
        <f t="shared" si="1"/>
        <v>#VALUE!</v>
      </c>
      <c r="I27" s="174">
        <v>0</v>
      </c>
      <c r="J27" s="102" t="e">
        <f t="shared" si="2"/>
        <v>#VALUE!</v>
      </c>
      <c r="K27" s="102" t="e">
        <f>I27+'ACTA PARCIAL No.5'!K27</f>
        <v>#REF!</v>
      </c>
      <c r="L27" s="102" t="e">
        <f t="shared" si="3"/>
        <v>#REF!</v>
      </c>
      <c r="M27" s="108">
        <f t="shared" si="0"/>
        <v>11</v>
      </c>
    </row>
    <row r="28" spans="1:13">
      <c r="A28" s="87" t="str">
        <f>IF(LOOKUP(M28,PPTO!$J$8:$J$269,PPTO!A$8:A$269)=0," ",LOOKUP(M28,PPTO!$J$8:$J$269,PPTO!A$8:A$269))</f>
        <v>3.02</v>
      </c>
      <c r="B28" s="91" t="str">
        <f>IF(LOOKUP(M28,PPTO!$J$8:J$269,PPTO!B$8:B$269)=0," ",LOOKUP(M28,PPTO!$J$8:J$269,PPTO!B$8:B$269))</f>
        <v xml:space="preserve"> </v>
      </c>
      <c r="C28" s="89" t="str">
        <f>IF(LOOKUP(M28,PPTO!$J$8:$J$269,PPTO!D$8:D$269)=0," ",LOOKUP(M28,PPTO!$J$8:$J$269,PPTO!D$8:D$269))</f>
        <v>M3</v>
      </c>
      <c r="D28" s="90" t="str">
        <f>IF(LOOKUP(M28,PPTO!$J$8:$J$269,PPTO!E$8:E$269)=0," ",LOOKUP(M28,PPTO!$J$8:$J$269,PPTO!E$8:E$269))</f>
        <v xml:space="preserve"> </v>
      </c>
      <c r="E28" s="90" t="str">
        <f>IF(LOOKUP(M28,PPTO!$J$8:$J$269,PPTO!F$8:F$269)=0," ",LOOKUP(M28,PPTO!$J$8:$J$269,PPTO!F$8:F$269))</f>
        <v xml:space="preserve"> </v>
      </c>
      <c r="F28" s="90" t="str">
        <f>IF(LOOKUP(M28,PPTO!$J$8:$J$269,PPTO!H$8:H$269)=0," ",LOOKUP(M28,PPTO!$J$8:$J$269,PPTO!H$8:H$269))</f>
        <v xml:space="preserve"> </v>
      </c>
      <c r="G28" s="178">
        <v>2018.33</v>
      </c>
      <c r="H28" s="102" t="e">
        <f t="shared" si="1"/>
        <v>#VALUE!</v>
      </c>
      <c r="I28" s="174">
        <v>0</v>
      </c>
      <c r="J28" s="102" t="e">
        <f t="shared" si="2"/>
        <v>#VALUE!</v>
      </c>
      <c r="K28" s="102" t="e">
        <f>I28+'ACTA PARCIAL No.5'!K28</f>
        <v>#REF!</v>
      </c>
      <c r="L28" s="102" t="e">
        <f t="shared" si="3"/>
        <v>#REF!</v>
      </c>
      <c r="M28" s="108">
        <f>M27+1</f>
        <v>12</v>
      </c>
    </row>
    <row r="29" spans="1:13">
      <c r="A29" s="87" t="str">
        <f>IF(LOOKUP(M29,PPTO!$J$8:$J$269,PPTO!A$8:A$269)=0," ",LOOKUP(M29,PPTO!$J$8:$J$269,PPTO!A$8:A$269))</f>
        <v>3.03</v>
      </c>
      <c r="B29" s="91" t="str">
        <f>IF(LOOKUP(M29,PPTO!$J$8:J$269,PPTO!B$8:B$269)=0," ",LOOKUP(M29,PPTO!$J$8:J$269,PPTO!B$8:B$269))</f>
        <v xml:space="preserve"> </v>
      </c>
      <c r="C29" s="89" t="str">
        <f>IF(LOOKUP(M29,PPTO!$J$8:$J$269,PPTO!D$8:D$269)=0," ",LOOKUP(M29,PPTO!$J$8:$J$269,PPTO!D$8:D$269))</f>
        <v>M3</v>
      </c>
      <c r="D29" s="90" t="str">
        <f>IF(LOOKUP(M29,PPTO!$J$8:$J$269,PPTO!E$8:E$269)=0," ",LOOKUP(M29,PPTO!$J$8:$J$269,PPTO!E$8:E$269))</f>
        <v xml:space="preserve"> </v>
      </c>
      <c r="E29" s="90" t="str">
        <f>IF(LOOKUP(M29,PPTO!$J$8:$J$269,PPTO!F$8:F$269)=0," ",LOOKUP(M29,PPTO!$J$8:$J$269,PPTO!F$8:F$269))</f>
        <v xml:space="preserve"> </v>
      </c>
      <c r="F29" s="90" t="str">
        <f>IF(LOOKUP(M29,PPTO!$J$8:$J$269,PPTO!H$8:H$269)=0," ",LOOKUP(M29,PPTO!$J$8:$J$269,PPTO!H$8:H$269))</f>
        <v xml:space="preserve"> </v>
      </c>
      <c r="G29" s="178">
        <v>1587.38</v>
      </c>
      <c r="H29" s="102" t="e">
        <f t="shared" si="1"/>
        <v>#VALUE!</v>
      </c>
      <c r="I29" s="174">
        <v>0</v>
      </c>
      <c r="J29" s="102" t="e">
        <f t="shared" si="2"/>
        <v>#VALUE!</v>
      </c>
      <c r="K29" s="102" t="e">
        <f>I29+'ACTA PARCIAL No.5'!K29</f>
        <v>#REF!</v>
      </c>
      <c r="L29" s="102" t="e">
        <f t="shared" si="3"/>
        <v>#REF!</v>
      </c>
      <c r="M29" s="108">
        <f>M28+1</f>
        <v>13</v>
      </c>
    </row>
    <row r="30" spans="1:13">
      <c r="A30" s="87" t="str">
        <f>IF(LOOKUP(M30,PPTO!$J$8:$J$269,PPTO!A$8:A$269)=0," ",LOOKUP(M30,PPTO!$J$8:$J$269,PPTO!A$8:A$269))</f>
        <v>3.04</v>
      </c>
      <c r="B30" s="91" t="str">
        <f>IF(LOOKUP(M30,PPTO!$J$8:J$269,PPTO!B$8:B$269)=0," ",LOOKUP(M30,PPTO!$J$8:J$269,PPTO!B$8:B$269))</f>
        <v xml:space="preserve"> </v>
      </c>
      <c r="C30" s="89" t="str">
        <f>IF(LOOKUP(M30,PPTO!$J$8:$J$269,PPTO!D$8:D$269)=0," ",LOOKUP(M30,PPTO!$J$8:$J$269,PPTO!D$8:D$269))</f>
        <v>M3</v>
      </c>
      <c r="D30" s="90" t="str">
        <f>IF(LOOKUP(M30,PPTO!$J$8:$J$269,PPTO!E$8:E$269)=0," ",LOOKUP(M30,PPTO!$J$8:$J$269,PPTO!E$8:E$269))</f>
        <v xml:space="preserve"> </v>
      </c>
      <c r="E30" s="90" t="str">
        <f>IF(LOOKUP(M30,PPTO!$J$8:$J$269,PPTO!F$8:F$269)=0," ",LOOKUP(M30,PPTO!$J$8:$J$269,PPTO!F$8:F$269))</f>
        <v xml:space="preserve"> </v>
      </c>
      <c r="F30" s="90" t="str">
        <f>IF(LOOKUP(M30,PPTO!$J$8:$J$269,PPTO!H$8:H$269)=0," ",LOOKUP(M30,PPTO!$J$8:$J$269,PPTO!H$8:H$269))</f>
        <v xml:space="preserve"> </v>
      </c>
      <c r="G30" s="178">
        <v>21041</v>
      </c>
      <c r="H30" s="102" t="e">
        <f t="shared" si="1"/>
        <v>#VALUE!</v>
      </c>
      <c r="I30" s="174">
        <v>0</v>
      </c>
      <c r="J30" s="102" t="e">
        <f t="shared" si="2"/>
        <v>#VALUE!</v>
      </c>
      <c r="K30" s="102" t="e">
        <f>I30+'ACTA PARCIAL No.5'!K30</f>
        <v>#REF!</v>
      </c>
      <c r="L30" s="102" t="e">
        <f t="shared" si="3"/>
        <v>#REF!</v>
      </c>
      <c r="M30" s="108">
        <f t="shared" si="0"/>
        <v>14</v>
      </c>
    </row>
    <row r="31" spans="1:13">
      <c r="A31" s="87" t="str">
        <f>IF(LOOKUP(M31,PPTO!$J$8:$J$269,PPTO!A$8:A$269)=0," ",LOOKUP(M31,PPTO!$J$8:$J$269,PPTO!A$8:A$269))</f>
        <v>3.05</v>
      </c>
      <c r="B31" s="91" t="str">
        <f>IF(LOOKUP(M31,PPTO!$J$8:J$269,PPTO!B$8:B$269)=0," ",LOOKUP(M31,PPTO!$J$8:J$269,PPTO!B$8:B$269))</f>
        <v xml:space="preserve"> </v>
      </c>
      <c r="C31" s="89" t="str">
        <f>IF(LOOKUP(M31,PPTO!$J$8:$J$269,PPTO!D$8:D$269)=0," ",LOOKUP(M31,PPTO!$J$8:$J$269,PPTO!D$8:D$269))</f>
        <v>M3</v>
      </c>
      <c r="D31" s="90" t="str">
        <f>IF(LOOKUP(M31,PPTO!$J$8:$J$269,PPTO!E$8:E$269)=0," ",LOOKUP(M31,PPTO!$J$8:$J$269,PPTO!E$8:E$269))</f>
        <v xml:space="preserve"> </v>
      </c>
      <c r="E31" s="90" t="str">
        <f>IF(LOOKUP(M31,PPTO!$J$8:$J$269,PPTO!F$8:F$269)=0," ",LOOKUP(M31,PPTO!$J$8:$J$269,PPTO!F$8:F$269))</f>
        <v xml:space="preserve"> </v>
      </c>
      <c r="F31" s="90" t="str">
        <f>IF(LOOKUP(M31,PPTO!$J$8:$J$269,PPTO!H$8:H$269)=0," ",LOOKUP(M31,PPTO!$J$8:$J$269,PPTO!H$8:H$269))</f>
        <v xml:space="preserve"> </v>
      </c>
      <c r="G31" s="178">
        <v>936.85</v>
      </c>
      <c r="H31" s="102" t="e">
        <f t="shared" si="1"/>
        <v>#VALUE!</v>
      </c>
      <c r="I31" s="174">
        <v>0</v>
      </c>
      <c r="J31" s="102" t="e">
        <f t="shared" si="2"/>
        <v>#VALUE!</v>
      </c>
      <c r="K31" s="102" t="e">
        <f>I31+'ACTA PARCIAL No.5'!K31</f>
        <v>#REF!</v>
      </c>
      <c r="L31" s="102" t="e">
        <f t="shared" si="3"/>
        <v>#REF!</v>
      </c>
      <c r="M31" s="108">
        <f t="shared" si="0"/>
        <v>15</v>
      </c>
    </row>
    <row r="32" spans="1:13">
      <c r="A32" s="87" t="str">
        <f>IF(LOOKUP(M32,PPTO!$J$8:$J$269,PPTO!A$8:A$269)=0," ",LOOKUP(M32,PPTO!$J$8:$J$269,PPTO!A$8:A$269))</f>
        <v>3.06</v>
      </c>
      <c r="B32" s="91" t="str">
        <f>IF(LOOKUP(M32,PPTO!$J$8:J$269,PPTO!B$8:B$269)=0," ",LOOKUP(M32,PPTO!$J$8:J$269,PPTO!B$8:B$269))</f>
        <v xml:space="preserve"> </v>
      </c>
      <c r="C32" s="89" t="str">
        <f>IF(LOOKUP(M32,PPTO!$J$8:$J$269,PPTO!D$8:D$269)=0," ",LOOKUP(M32,PPTO!$J$8:$J$269,PPTO!D$8:D$269))</f>
        <v>M3</v>
      </c>
      <c r="D32" s="90" t="str">
        <f>IF(LOOKUP(M32,PPTO!$J$8:$J$269,PPTO!E$8:E$269)=0," ",LOOKUP(M32,PPTO!$J$8:$J$269,PPTO!E$8:E$269))</f>
        <v xml:space="preserve"> </v>
      </c>
      <c r="E32" s="90" t="str">
        <f>IF(LOOKUP(M32,PPTO!$J$8:$J$269,PPTO!F$8:F$269)=0," ",LOOKUP(M32,PPTO!$J$8:$J$269,PPTO!F$8:F$269))</f>
        <v xml:space="preserve"> </v>
      </c>
      <c r="F32" s="90" t="str">
        <f>IF(LOOKUP(M32,PPTO!$J$8:$J$269,PPTO!H$8:H$269)=0," ",LOOKUP(M32,PPTO!$J$8:$J$269,PPTO!H$8:H$269))</f>
        <v xml:space="preserve"> </v>
      </c>
      <c r="G32" s="178">
        <v>2018.33</v>
      </c>
      <c r="H32" s="102" t="e">
        <f t="shared" si="1"/>
        <v>#VALUE!</v>
      </c>
      <c r="I32" s="174">
        <v>0</v>
      </c>
      <c r="J32" s="102" t="e">
        <f t="shared" si="2"/>
        <v>#VALUE!</v>
      </c>
      <c r="K32" s="102" t="e">
        <f>I32+'ACTA PARCIAL No.5'!K32</f>
        <v>#REF!</v>
      </c>
      <c r="L32" s="102" t="e">
        <f t="shared" si="3"/>
        <v>#REF!</v>
      </c>
      <c r="M32" s="108">
        <f t="shared" si="0"/>
        <v>16</v>
      </c>
    </row>
    <row r="33" spans="1:13">
      <c r="A33" s="87" t="str">
        <f>IF(LOOKUP(M33,PPTO!$J$8:$J$269,PPTO!A$8:A$269)=0," ",LOOKUP(M33,PPTO!$J$8:$J$269,PPTO!A$8:A$269))</f>
        <v>3.07</v>
      </c>
      <c r="B33" s="91" t="str">
        <f>IF(LOOKUP(M33,PPTO!$J$8:J$269,PPTO!B$8:B$269)=0," ",LOOKUP(M33,PPTO!$J$8:J$269,PPTO!B$8:B$269))</f>
        <v xml:space="preserve"> </v>
      </c>
      <c r="C33" s="89" t="str">
        <f>IF(LOOKUP(M33,PPTO!$J$8:$J$269,PPTO!D$8:D$269)=0," ",LOOKUP(M33,PPTO!$J$8:$J$269,PPTO!D$8:D$269))</f>
        <v>M3</v>
      </c>
      <c r="D33" s="90" t="str">
        <f>IF(LOOKUP(M33,PPTO!$J$8:$J$269,PPTO!E$8:E$269)=0," ",LOOKUP(M33,PPTO!$J$8:$J$269,PPTO!E$8:E$269))</f>
        <v xml:space="preserve"> </v>
      </c>
      <c r="E33" s="90" t="str">
        <f>IF(LOOKUP(M33,PPTO!$J$8:$J$269,PPTO!F$8:F$269)=0," ",LOOKUP(M33,PPTO!$J$8:$J$269,PPTO!F$8:F$269))</f>
        <v xml:space="preserve"> </v>
      </c>
      <c r="F33" s="90" t="str">
        <f>IF(LOOKUP(M33,PPTO!$J$8:$J$269,PPTO!H$8:H$269)=0," ",LOOKUP(M33,PPTO!$J$8:$J$269,PPTO!H$8:H$269))</f>
        <v xml:space="preserve"> </v>
      </c>
      <c r="G33" s="178">
        <v>1587.38</v>
      </c>
      <c r="H33" s="102" t="e">
        <f t="shared" si="1"/>
        <v>#VALUE!</v>
      </c>
      <c r="I33" s="174">
        <v>0</v>
      </c>
      <c r="J33" s="102" t="e">
        <f t="shared" si="2"/>
        <v>#VALUE!</v>
      </c>
      <c r="K33" s="102" t="e">
        <f>I33+'ACTA PARCIAL No.5'!K33</f>
        <v>#REF!</v>
      </c>
      <c r="L33" s="102" t="e">
        <f t="shared" si="3"/>
        <v>#REF!</v>
      </c>
      <c r="M33" s="108">
        <f t="shared" si="0"/>
        <v>17</v>
      </c>
    </row>
    <row r="34" spans="1:13">
      <c r="A34" s="87" t="str">
        <f>IF(LOOKUP(M34,PPTO!$J$8:$J$269,PPTO!A$8:A$269)=0," ",LOOKUP(M34,PPTO!$J$8:$J$269,PPTO!A$8:A$269))</f>
        <v>3.08</v>
      </c>
      <c r="B34" s="91" t="str">
        <f>IF(LOOKUP(M34,PPTO!$J$8:J$269,PPTO!B$8:B$269)=0," ",LOOKUP(M34,PPTO!$J$8:J$269,PPTO!B$8:B$269))</f>
        <v xml:space="preserve"> </v>
      </c>
      <c r="C34" s="89" t="str">
        <f>IF(LOOKUP(M34,PPTO!$J$8:$J$269,PPTO!D$8:D$269)=0," ",LOOKUP(M34,PPTO!$J$8:$J$269,PPTO!D$8:D$269))</f>
        <v>M2</v>
      </c>
      <c r="D34" s="90" t="str">
        <f>IF(LOOKUP(M34,PPTO!$J$8:$J$269,PPTO!E$8:E$269)=0," ",LOOKUP(M34,PPTO!$J$8:$J$269,PPTO!E$8:E$269))</f>
        <v xml:space="preserve"> </v>
      </c>
      <c r="E34" s="90" t="str">
        <f>IF(LOOKUP(M34,PPTO!$J$8:$J$269,PPTO!F$8:F$269)=0," ",LOOKUP(M34,PPTO!$J$8:$J$269,PPTO!F$8:F$269))</f>
        <v xml:space="preserve"> </v>
      </c>
      <c r="F34" s="90" t="str">
        <f>IF(LOOKUP(M34,PPTO!$J$8:$J$269,PPTO!H$8:H$269)=0," ",LOOKUP(M34,PPTO!$J$8:$J$269,PPTO!H$8:H$269))</f>
        <v xml:space="preserve"> </v>
      </c>
      <c r="G34" s="178">
        <v>10500</v>
      </c>
      <c r="H34" s="102" t="e">
        <f t="shared" si="1"/>
        <v>#VALUE!</v>
      </c>
      <c r="I34" s="174">
        <v>0</v>
      </c>
      <c r="J34" s="102" t="e">
        <f t="shared" si="2"/>
        <v>#VALUE!</v>
      </c>
      <c r="K34" s="102" t="e">
        <f>I34+'ACTA PARCIAL No.5'!K34</f>
        <v>#REF!</v>
      </c>
      <c r="L34" s="102" t="e">
        <f t="shared" si="3"/>
        <v>#REF!</v>
      </c>
      <c r="M34" s="108">
        <f t="shared" si="0"/>
        <v>18</v>
      </c>
    </row>
    <row r="35" spans="1:13">
      <c r="A35" s="87" t="str">
        <f>IF(LOOKUP(M35,PPTO!$J$8:$J$269,PPTO!A$8:A$269)=0," ",LOOKUP(M35,PPTO!$J$8:$J$269,PPTO!A$8:A$269))</f>
        <v>3.09</v>
      </c>
      <c r="B35" s="91" t="str">
        <f>IF(LOOKUP(M35,PPTO!$J$8:J$269,PPTO!B$8:B$269)=0," ",LOOKUP(M35,PPTO!$J$8:J$269,PPTO!B$8:B$269))</f>
        <v xml:space="preserve"> </v>
      </c>
      <c r="C35" s="89" t="str">
        <f>IF(LOOKUP(M35,PPTO!$J$8:$J$269,PPTO!D$8:D$269)=0," ",LOOKUP(M35,PPTO!$J$8:$J$269,PPTO!D$8:D$269))</f>
        <v>UND</v>
      </c>
      <c r="D35" s="90" t="str">
        <f>IF(LOOKUP(M35,PPTO!$J$8:$J$269,PPTO!E$8:E$269)=0," ",LOOKUP(M35,PPTO!$J$8:$J$269,PPTO!E$8:E$269))</f>
        <v xml:space="preserve"> </v>
      </c>
      <c r="E35" s="90" t="str">
        <f>IF(LOOKUP(M35,PPTO!$J$8:$J$269,PPTO!F$8:F$269)=0," ",LOOKUP(M35,PPTO!$J$8:$J$269,PPTO!F$8:F$269))</f>
        <v xml:space="preserve"> </v>
      </c>
      <c r="F35" s="90" t="str">
        <f>IF(LOOKUP(M35,PPTO!$J$8:$J$269,PPTO!H$8:H$269)=0," ",LOOKUP(M35,PPTO!$J$8:$J$269,PPTO!H$8:H$269))</f>
        <v xml:space="preserve"> </v>
      </c>
      <c r="G35" s="178">
        <v>936.85</v>
      </c>
      <c r="H35" s="102" t="e">
        <f t="shared" si="1"/>
        <v>#VALUE!</v>
      </c>
      <c r="I35" s="174">
        <v>0</v>
      </c>
      <c r="J35" s="102" t="e">
        <f t="shared" si="2"/>
        <v>#VALUE!</v>
      </c>
      <c r="K35" s="102" t="e">
        <f>I35+'ACTA PARCIAL No.5'!K35</f>
        <v>#REF!</v>
      </c>
      <c r="L35" s="102" t="e">
        <f t="shared" si="3"/>
        <v>#REF!</v>
      </c>
      <c r="M35" s="108">
        <f t="shared" si="0"/>
        <v>19</v>
      </c>
    </row>
    <row r="36" spans="1:13">
      <c r="A36" s="87" t="str">
        <f>IF(LOOKUP(M36,PPTO!$J$8:$J$269,PPTO!A$8:A$269)=0," ",LOOKUP(M36,PPTO!$J$8:$J$269,PPTO!A$8:A$269))</f>
        <v>3.10</v>
      </c>
      <c r="B36" s="91" t="str">
        <f>IF(LOOKUP(M36,PPTO!$J$8:J$269,PPTO!B$8:B$269)=0," ",LOOKUP(M36,PPTO!$J$8:J$269,PPTO!B$8:B$269))</f>
        <v xml:space="preserve"> </v>
      </c>
      <c r="C36" s="89" t="str">
        <f>IF(LOOKUP(M36,PPTO!$J$8:$J$269,PPTO!D$8:D$269)=0," ",LOOKUP(M36,PPTO!$J$8:$J$269,PPTO!D$8:D$269))</f>
        <v>M3</v>
      </c>
      <c r="D36" s="90" t="str">
        <f>IF(LOOKUP(M36,PPTO!$J$8:$J$269,PPTO!E$8:E$269)=0," ",LOOKUP(M36,PPTO!$J$8:$J$269,PPTO!E$8:E$269))</f>
        <v xml:space="preserve"> </v>
      </c>
      <c r="E36" s="90" t="str">
        <f>IF(LOOKUP(M36,PPTO!$J$8:$J$269,PPTO!F$8:F$269)=0," ",LOOKUP(M36,PPTO!$J$8:$J$269,PPTO!F$8:F$269))</f>
        <v xml:space="preserve"> </v>
      </c>
      <c r="F36" s="90" t="str">
        <f>IF(LOOKUP(M36,PPTO!$J$8:$J$269,PPTO!H$8:H$269)=0," ",LOOKUP(M36,PPTO!$J$8:$J$269,PPTO!H$8:H$269))</f>
        <v xml:space="preserve"> </v>
      </c>
      <c r="G36" s="178">
        <v>2018.33</v>
      </c>
      <c r="H36" s="102" t="e">
        <f t="shared" si="1"/>
        <v>#VALUE!</v>
      </c>
      <c r="I36" s="174">
        <v>0</v>
      </c>
      <c r="J36" s="102" t="e">
        <f t="shared" si="2"/>
        <v>#VALUE!</v>
      </c>
      <c r="K36" s="102" t="e">
        <f>I36+'ACTA PARCIAL No.5'!K36</f>
        <v>#REF!</v>
      </c>
      <c r="L36" s="102" t="e">
        <f t="shared" si="3"/>
        <v>#REF!</v>
      </c>
      <c r="M36" s="108">
        <f t="shared" si="0"/>
        <v>20</v>
      </c>
    </row>
    <row r="37" spans="1:13">
      <c r="A37" s="87" t="str">
        <f>IF(LOOKUP(M37,PPTO!$J$8:$J$269,PPTO!A$8:A$269)=0," ",LOOKUP(M37,PPTO!$J$8:$J$269,PPTO!A$8:A$269))</f>
        <v>3.11</v>
      </c>
      <c r="B37" s="91" t="str">
        <f>IF(LOOKUP(M37,PPTO!$J$8:J$269,PPTO!B$8:B$269)=0," ",LOOKUP(M37,PPTO!$J$8:J$269,PPTO!B$8:B$269))</f>
        <v xml:space="preserve"> </v>
      </c>
      <c r="C37" s="89" t="str">
        <f>IF(LOOKUP(M37,PPTO!$J$8:$J$269,PPTO!D$8:D$269)=0," ",LOOKUP(M37,PPTO!$J$8:$J$269,PPTO!D$8:D$269))</f>
        <v>M3</v>
      </c>
      <c r="D37" s="90" t="str">
        <f>IF(LOOKUP(M37,PPTO!$J$8:$J$269,PPTO!E$8:E$269)=0," ",LOOKUP(M37,PPTO!$J$8:$J$269,PPTO!E$8:E$269))</f>
        <v xml:space="preserve"> </v>
      </c>
      <c r="E37" s="90" t="str">
        <f>IF(LOOKUP(M37,PPTO!$J$8:$J$269,PPTO!F$8:F$269)=0," ",LOOKUP(M37,PPTO!$J$8:$J$269,PPTO!F$8:F$269))</f>
        <v xml:space="preserve"> </v>
      </c>
      <c r="F37" s="90" t="str">
        <f>IF(LOOKUP(M37,PPTO!$J$8:$J$269,PPTO!H$8:H$269)=0," ",LOOKUP(M37,PPTO!$J$8:$J$269,PPTO!H$8:H$269))</f>
        <v xml:space="preserve"> </v>
      </c>
      <c r="G37" s="178">
        <v>18000</v>
      </c>
      <c r="H37" s="102" t="e">
        <f t="shared" si="1"/>
        <v>#VALUE!</v>
      </c>
      <c r="I37" s="174">
        <v>0</v>
      </c>
      <c r="J37" s="102" t="e">
        <f t="shared" si="2"/>
        <v>#VALUE!</v>
      </c>
      <c r="K37" s="102" t="e">
        <f>I37+'ACTA PARCIAL No.5'!K37</f>
        <v>#REF!</v>
      </c>
      <c r="L37" s="102" t="e">
        <f t="shared" si="3"/>
        <v>#REF!</v>
      </c>
      <c r="M37" s="108">
        <f t="shared" si="0"/>
        <v>21</v>
      </c>
    </row>
    <row r="38" spans="1:13">
      <c r="A38" s="87" t="str">
        <f>IF(LOOKUP(M38,PPTO!$J$8:$J$269,PPTO!A$8:A$269)=0," ",LOOKUP(M38,PPTO!$J$8:$J$269,PPTO!A$8:A$269))</f>
        <v>3.12</v>
      </c>
      <c r="B38" s="91" t="str">
        <f>IF(LOOKUP(M38,PPTO!$J$8:J$269,PPTO!B$8:B$269)=0," ",LOOKUP(M38,PPTO!$J$8:J$269,PPTO!B$8:B$269))</f>
        <v xml:space="preserve"> </v>
      </c>
      <c r="C38" s="89" t="str">
        <f>IF(LOOKUP(M38,PPTO!$J$8:$J$269,PPTO!D$8:D$269)=0," ",LOOKUP(M38,PPTO!$J$8:$J$269,PPTO!D$8:D$269))</f>
        <v>M3</v>
      </c>
      <c r="D38" s="90" t="str">
        <f>IF(LOOKUP(M38,PPTO!$J$8:$J$269,PPTO!E$8:E$269)=0," ",LOOKUP(M38,PPTO!$J$8:$J$269,PPTO!E$8:E$269))</f>
        <v xml:space="preserve"> </v>
      </c>
      <c r="E38" s="90" t="str">
        <f>IF(LOOKUP(M38,PPTO!$J$8:$J$269,PPTO!F$8:F$269)=0," ",LOOKUP(M38,PPTO!$J$8:$J$269,PPTO!F$8:F$269))</f>
        <v xml:space="preserve"> </v>
      </c>
      <c r="F38" s="90" t="str">
        <f>IF(LOOKUP(M38,PPTO!$J$8:$J$269,PPTO!H$8:H$269)=0," ",LOOKUP(M38,PPTO!$J$8:$J$269,PPTO!H$8:H$269))</f>
        <v xml:space="preserve"> </v>
      </c>
      <c r="G38" s="178">
        <v>3173.33</v>
      </c>
      <c r="H38" s="102" t="e">
        <f t="shared" si="1"/>
        <v>#VALUE!</v>
      </c>
      <c r="I38" s="174">
        <v>50</v>
      </c>
      <c r="J38" s="102" t="e">
        <f t="shared" si="2"/>
        <v>#VALUE!</v>
      </c>
      <c r="K38" s="102" t="e">
        <f>I38+'ACTA PARCIAL No.5'!K38</f>
        <v>#REF!</v>
      </c>
      <c r="L38" s="102" t="e">
        <f t="shared" si="3"/>
        <v>#REF!</v>
      </c>
      <c r="M38" s="108">
        <f t="shared" si="0"/>
        <v>22</v>
      </c>
    </row>
    <row r="39" spans="1:13">
      <c r="A39" s="87">
        <f>IF(LOOKUP(M39,PPTO!$J$8:$J$269,PPTO!A$8:A$269)=0," ",LOOKUP(M39,PPTO!$J$8:$J$269,PPTO!A$8:A$269))</f>
        <v>4</v>
      </c>
      <c r="B39" s="91" t="str">
        <f>IF(LOOKUP(M39,PPTO!$J$8:J$269,PPTO!B$8:B$269)=0," ",LOOKUP(M39,PPTO!$J$8:J$269,PPTO!B$8:B$269))</f>
        <v>TUBERIA DE ALCANTARILLADO</v>
      </c>
      <c r="C39" s="89" t="str">
        <f>IF(LOOKUP(M39,PPTO!$J$8:$J$269,PPTO!D$8:D$269)=0," ",LOOKUP(M39,PPTO!$J$8:$J$269,PPTO!D$8:D$269))</f>
        <v xml:space="preserve"> </v>
      </c>
      <c r="D39" s="90" t="str">
        <f>IF(LOOKUP(M39,PPTO!$J$8:$J$269,PPTO!E$8:E$269)=0," ",LOOKUP(M39,PPTO!$J$8:$J$269,PPTO!E$8:E$269))</f>
        <v xml:space="preserve"> </v>
      </c>
      <c r="E39" s="90" t="str">
        <f>IF(LOOKUP(M39,PPTO!$J$8:$J$269,PPTO!F$8:F$269)=0," ",LOOKUP(M39,PPTO!$J$8:$J$269,PPTO!F$8:F$269))</f>
        <v xml:space="preserve"> </v>
      </c>
      <c r="F39" s="90" t="str">
        <f>IF(LOOKUP(M39,PPTO!$J$8:$J$269,PPTO!H$8:H$269)=0," ",LOOKUP(M39,PPTO!$J$8:$J$269,PPTO!H$8:H$269))</f>
        <v xml:space="preserve"> </v>
      </c>
      <c r="G39" s="178"/>
      <c r="H39" s="102"/>
      <c r="I39" s="174"/>
      <c r="J39" s="102"/>
      <c r="K39" s="102"/>
      <c r="L39" s="102"/>
      <c r="M39" s="108">
        <f t="shared" si="0"/>
        <v>23</v>
      </c>
    </row>
    <row r="40" spans="1:13">
      <c r="A40" s="87" t="str">
        <f>IF(LOOKUP(M40,PPTO!$J$8:$J$269,PPTO!A$8:A$269)=0," ",LOOKUP(M40,PPTO!$J$8:$J$269,PPTO!A$8:A$269))</f>
        <v>4.01</v>
      </c>
      <c r="B40" s="91" t="str">
        <f>IF(LOOKUP(M40,PPTO!$J$8:J$269,PPTO!B$8:B$269)=0," ",LOOKUP(M40,PPTO!$J$8:J$269,PPTO!B$8:B$269))</f>
        <v xml:space="preserve"> </v>
      </c>
      <c r="C40" s="89" t="str">
        <f>IF(LOOKUP(M40,PPTO!$J$8:$J$269,PPTO!D$8:D$269)=0," ",LOOKUP(M40,PPTO!$J$8:$J$269,PPTO!D$8:D$269))</f>
        <v>ML</v>
      </c>
      <c r="D40" s="90" t="str">
        <f>IF(LOOKUP(M40,PPTO!$J$8:$J$269,PPTO!E$8:E$269)=0," ",LOOKUP(M40,PPTO!$J$8:$J$269,PPTO!E$8:E$269))</f>
        <v xml:space="preserve"> </v>
      </c>
      <c r="E40" s="90" t="str">
        <f>IF(LOOKUP(M40,PPTO!$J$8:$J$269,PPTO!F$8:F$269)=0," ",LOOKUP(M40,PPTO!$J$8:$J$269,PPTO!F$8:F$269))</f>
        <v xml:space="preserve"> </v>
      </c>
      <c r="F40" s="90" t="str">
        <f>IF(LOOKUP(M40,PPTO!$J$8:$J$269,PPTO!H$8:H$269)=0," ",LOOKUP(M40,PPTO!$J$8:$J$269,PPTO!H$8:H$269))</f>
        <v xml:space="preserve"> </v>
      </c>
      <c r="G40" s="178">
        <v>7554</v>
      </c>
      <c r="H40" s="102" t="e">
        <f t="shared" si="1"/>
        <v>#VALUE!</v>
      </c>
      <c r="I40" s="174">
        <v>0</v>
      </c>
      <c r="J40" s="102" t="e">
        <f t="shared" si="2"/>
        <v>#VALUE!</v>
      </c>
      <c r="K40" s="102" t="e">
        <f>I40+'ACTA PARCIAL No.5'!K40</f>
        <v>#REF!</v>
      </c>
      <c r="L40" s="102" t="e">
        <f t="shared" si="3"/>
        <v>#REF!</v>
      </c>
      <c r="M40" s="108">
        <f t="shared" si="0"/>
        <v>24</v>
      </c>
    </row>
    <row r="41" spans="1:13">
      <c r="A41" s="87" t="str">
        <f>IF(LOOKUP(M41,PPTO!$J$8:$J$269,PPTO!A$8:A$269)=0," ",LOOKUP(M41,PPTO!$J$8:$J$269,PPTO!A$8:A$269))</f>
        <v>4.02</v>
      </c>
      <c r="B41" s="91" t="str">
        <f>IF(LOOKUP(M41,PPTO!$J$8:J$269,PPTO!B$8:B$269)=0," ",LOOKUP(M41,PPTO!$J$8:J$269,PPTO!B$8:B$269))</f>
        <v xml:space="preserve"> </v>
      </c>
      <c r="C41" s="89" t="str">
        <f>IF(LOOKUP(M41,PPTO!$J$8:$J$269,PPTO!D$8:D$269)=0," ",LOOKUP(M41,PPTO!$J$8:$J$269,PPTO!D$8:D$269))</f>
        <v>ML</v>
      </c>
      <c r="D41" s="90" t="str">
        <f>IF(LOOKUP(M41,PPTO!$J$8:$J$269,PPTO!E$8:E$269)=0," ",LOOKUP(M41,PPTO!$J$8:$J$269,PPTO!E$8:E$269))</f>
        <v xml:space="preserve"> </v>
      </c>
      <c r="E41" s="90" t="str">
        <f>IF(LOOKUP(M41,PPTO!$J$8:$J$269,PPTO!F$8:F$269)=0," ",LOOKUP(M41,PPTO!$J$8:$J$269,PPTO!F$8:F$269))</f>
        <v xml:space="preserve"> </v>
      </c>
      <c r="F41" s="90" t="str">
        <f>IF(LOOKUP(M41,PPTO!$J$8:$J$269,PPTO!H$8:H$269)=0," ",LOOKUP(M41,PPTO!$J$8:$J$269,PPTO!H$8:H$269))</f>
        <v xml:space="preserve"> </v>
      </c>
      <c r="G41" s="178">
        <v>10629.07</v>
      </c>
      <c r="H41" s="102" t="e">
        <f t="shared" si="1"/>
        <v>#VALUE!</v>
      </c>
      <c r="I41" s="174">
        <v>0</v>
      </c>
      <c r="J41" s="102" t="e">
        <f t="shared" si="2"/>
        <v>#VALUE!</v>
      </c>
      <c r="K41" s="102" t="e">
        <f>I41+'ACTA PARCIAL No.5'!K41</f>
        <v>#REF!</v>
      </c>
      <c r="L41" s="102" t="e">
        <f t="shared" si="3"/>
        <v>#REF!</v>
      </c>
      <c r="M41" s="108">
        <f t="shared" si="0"/>
        <v>25</v>
      </c>
    </row>
    <row r="42" spans="1:13">
      <c r="A42" s="87" t="str">
        <f>IF(LOOKUP(M42,PPTO!$J$8:$J$269,PPTO!A$8:A$269)=0," ",LOOKUP(M42,PPTO!$J$8:$J$269,PPTO!A$8:A$269))</f>
        <v>4.03</v>
      </c>
      <c r="B42" s="91" t="str">
        <f>IF(LOOKUP(M42,PPTO!$J$8:J$269,PPTO!B$8:B$269)=0," ",LOOKUP(M42,PPTO!$J$8:J$269,PPTO!B$8:B$269))</f>
        <v xml:space="preserve"> </v>
      </c>
      <c r="C42" s="89" t="str">
        <f>IF(LOOKUP(M42,PPTO!$J$8:$J$269,PPTO!D$8:D$269)=0," ",LOOKUP(M42,PPTO!$J$8:$J$269,PPTO!D$8:D$269))</f>
        <v>ML</v>
      </c>
      <c r="D42" s="90" t="str">
        <f>IF(LOOKUP(M42,PPTO!$J$8:$J$269,PPTO!E$8:E$269)=0," ",LOOKUP(M42,PPTO!$J$8:$J$269,PPTO!E$8:E$269))</f>
        <v xml:space="preserve"> </v>
      </c>
      <c r="E42" s="90" t="str">
        <f>IF(LOOKUP(M42,PPTO!$J$8:$J$269,PPTO!F$8:F$269)=0," ",LOOKUP(M42,PPTO!$J$8:$J$269,PPTO!F$8:F$269))</f>
        <v xml:space="preserve"> </v>
      </c>
      <c r="F42" s="90" t="str">
        <f>IF(LOOKUP(M42,PPTO!$J$8:$J$269,PPTO!H$8:H$269)=0," ",LOOKUP(M42,PPTO!$J$8:$J$269,PPTO!H$8:H$269))</f>
        <v xml:space="preserve"> </v>
      </c>
      <c r="G42" s="178">
        <v>119.02</v>
      </c>
      <c r="H42" s="102" t="e">
        <f t="shared" si="1"/>
        <v>#VALUE!</v>
      </c>
      <c r="I42" s="174">
        <v>0</v>
      </c>
      <c r="J42" s="102" t="e">
        <f t="shared" si="2"/>
        <v>#VALUE!</v>
      </c>
      <c r="K42" s="102" t="e">
        <f>I42+'ACTA PARCIAL No.5'!K42</f>
        <v>#REF!</v>
      </c>
      <c r="L42" s="102" t="e">
        <f t="shared" si="3"/>
        <v>#REF!</v>
      </c>
      <c r="M42" s="108">
        <f t="shared" si="0"/>
        <v>26</v>
      </c>
    </row>
    <row r="43" spans="1:13">
      <c r="A43" s="87" t="str">
        <f>IF(LOOKUP(M43,PPTO!$J$8:$J$269,PPTO!A$8:A$269)=0," ",LOOKUP(M43,PPTO!$J$8:$J$269,PPTO!A$8:A$269))</f>
        <v>4.04</v>
      </c>
      <c r="B43" s="91" t="str">
        <f>IF(LOOKUP(M43,PPTO!$J$8:J$269,PPTO!B$8:B$269)=0," ",LOOKUP(M43,PPTO!$J$8:J$269,PPTO!B$8:B$269))</f>
        <v xml:space="preserve"> </v>
      </c>
      <c r="C43" s="89" t="str">
        <f>IF(LOOKUP(M43,PPTO!$J$8:$J$269,PPTO!D$8:D$269)=0," ",LOOKUP(M43,PPTO!$J$8:$J$269,PPTO!D$8:D$269))</f>
        <v>ML</v>
      </c>
      <c r="D43" s="90" t="str">
        <f>IF(LOOKUP(M43,PPTO!$J$8:$J$269,PPTO!E$8:E$269)=0," ",LOOKUP(M43,PPTO!$J$8:$J$269,PPTO!E$8:E$269))</f>
        <v xml:space="preserve"> </v>
      </c>
      <c r="E43" s="90" t="str">
        <f>IF(LOOKUP(M43,PPTO!$J$8:$J$269,PPTO!F$8:F$269)=0," ",LOOKUP(M43,PPTO!$J$8:$J$269,PPTO!F$8:F$269))</f>
        <v xml:space="preserve"> </v>
      </c>
      <c r="F43" s="90" t="str">
        <f>IF(LOOKUP(M43,PPTO!$J$8:$J$269,PPTO!H$8:H$269)=0," ",LOOKUP(M43,PPTO!$J$8:$J$269,PPTO!H$8:H$269))</f>
        <v xml:space="preserve"> </v>
      </c>
      <c r="G43" s="178">
        <v>293.73</v>
      </c>
      <c r="H43" s="102" t="e">
        <f t="shared" si="1"/>
        <v>#VALUE!</v>
      </c>
      <c r="I43" s="174">
        <v>0</v>
      </c>
      <c r="J43" s="102" t="e">
        <f t="shared" si="2"/>
        <v>#VALUE!</v>
      </c>
      <c r="K43" s="102" t="e">
        <f>I43+'ACTA PARCIAL No.5'!K43</f>
        <v>#REF!</v>
      </c>
      <c r="L43" s="102" t="e">
        <f t="shared" si="3"/>
        <v>#REF!</v>
      </c>
      <c r="M43" s="108">
        <f t="shared" si="0"/>
        <v>27</v>
      </c>
    </row>
    <row r="44" spans="1:13">
      <c r="A44" s="87" t="str">
        <f>IF(LOOKUP(M44,PPTO!$J$8:$J$269,PPTO!A$8:A$269)=0," ",LOOKUP(M44,PPTO!$J$8:$J$269,PPTO!A$8:A$269))</f>
        <v>4.05</v>
      </c>
      <c r="B44" s="91" t="str">
        <f>IF(LOOKUP(M44,PPTO!$J$8:J$269,PPTO!B$8:B$269)=0," ",LOOKUP(M44,PPTO!$J$8:J$269,PPTO!B$8:B$269))</f>
        <v xml:space="preserve"> </v>
      </c>
      <c r="C44" s="89" t="str">
        <f>IF(LOOKUP(M44,PPTO!$J$8:$J$269,PPTO!D$8:D$269)=0," ",LOOKUP(M44,PPTO!$J$8:$J$269,PPTO!D$8:D$269))</f>
        <v>ML</v>
      </c>
      <c r="D44" s="90" t="str">
        <f>IF(LOOKUP(M44,PPTO!$J$8:$J$269,PPTO!E$8:E$269)=0," ",LOOKUP(M44,PPTO!$J$8:$J$269,PPTO!E$8:E$269))</f>
        <v xml:space="preserve"> </v>
      </c>
      <c r="E44" s="90" t="str">
        <f>IF(LOOKUP(M44,PPTO!$J$8:$J$269,PPTO!F$8:F$269)=0," ",LOOKUP(M44,PPTO!$J$8:$J$269,PPTO!F$8:F$269))</f>
        <v xml:space="preserve"> </v>
      </c>
      <c r="F44" s="90" t="str">
        <f>IF(LOOKUP(M44,PPTO!$J$8:$J$269,PPTO!H$8:H$269)=0," ",LOOKUP(M44,PPTO!$J$8:$J$269,PPTO!H$8:H$269))</f>
        <v xml:space="preserve"> </v>
      </c>
      <c r="G44" s="178">
        <v>912.33</v>
      </c>
      <c r="H44" s="102" t="e">
        <f t="shared" si="1"/>
        <v>#VALUE!</v>
      </c>
      <c r="I44" s="174">
        <v>0</v>
      </c>
      <c r="J44" s="102" t="e">
        <f t="shared" si="2"/>
        <v>#VALUE!</v>
      </c>
      <c r="K44" s="102" t="e">
        <f>I44+'ACTA PARCIAL No.5'!K44</f>
        <v>#REF!</v>
      </c>
      <c r="L44" s="102" t="e">
        <f t="shared" si="3"/>
        <v>#REF!</v>
      </c>
      <c r="M44" s="108">
        <f t="shared" si="0"/>
        <v>28</v>
      </c>
    </row>
    <row r="45" spans="1:13">
      <c r="A45" s="87" t="str">
        <f>IF(LOOKUP(M45,PPTO!$J$8:$J$269,PPTO!A$8:A$269)=0," ",LOOKUP(M45,PPTO!$J$8:$J$269,PPTO!A$8:A$269))</f>
        <v>4.06</v>
      </c>
      <c r="B45" s="91" t="str">
        <f>IF(LOOKUP(M45,PPTO!$J$8:J$269,PPTO!B$8:B$269)=0," ",LOOKUP(M45,PPTO!$J$8:J$269,PPTO!B$8:B$269))</f>
        <v xml:space="preserve"> </v>
      </c>
      <c r="C45" s="89" t="str">
        <f>IF(LOOKUP(M45,PPTO!$J$8:$J$269,PPTO!D$8:D$269)=0," ",LOOKUP(M45,PPTO!$J$8:$J$269,PPTO!D$8:D$269))</f>
        <v>UND</v>
      </c>
      <c r="D45" s="90" t="str">
        <f>IF(LOOKUP(M45,PPTO!$J$8:$J$269,PPTO!E$8:E$269)=0," ",LOOKUP(M45,PPTO!$J$8:$J$269,PPTO!E$8:E$269))</f>
        <v xml:space="preserve"> </v>
      </c>
      <c r="E45" s="90" t="str">
        <f>IF(LOOKUP(M45,PPTO!$J$8:$J$269,PPTO!F$8:F$269)=0," ",LOOKUP(M45,PPTO!$J$8:$J$269,PPTO!F$8:F$269))</f>
        <v xml:space="preserve"> </v>
      </c>
      <c r="F45" s="90" t="str">
        <f>IF(LOOKUP(M45,PPTO!$J$8:$J$269,PPTO!H$8:H$269)=0," ",LOOKUP(M45,PPTO!$J$8:$J$269,PPTO!H$8:H$269))</f>
        <v xml:space="preserve"> </v>
      </c>
      <c r="G45" s="178">
        <v>1259</v>
      </c>
      <c r="H45" s="102" t="e">
        <f t="shared" si="1"/>
        <v>#VALUE!</v>
      </c>
      <c r="I45" s="174">
        <v>0</v>
      </c>
      <c r="J45" s="102" t="e">
        <f t="shared" si="2"/>
        <v>#VALUE!</v>
      </c>
      <c r="K45" s="102" t="e">
        <f>I45+'ACTA PARCIAL No.5'!K45</f>
        <v>#REF!</v>
      </c>
      <c r="L45" s="102" t="e">
        <f t="shared" si="3"/>
        <v>#REF!</v>
      </c>
      <c r="M45" s="108">
        <f t="shared" si="0"/>
        <v>29</v>
      </c>
    </row>
    <row r="46" spans="1:13">
      <c r="A46" s="87" t="str">
        <f>IF(LOOKUP(M46,PPTO!$J$8:$J$269,PPTO!A$8:A$269)=0," ",LOOKUP(M46,PPTO!$J$8:$J$269,PPTO!A$8:A$269))</f>
        <v>4.09</v>
      </c>
      <c r="B46" s="91" t="str">
        <f>IF(LOOKUP(M46,PPTO!$J$8:J$269,PPTO!B$8:B$269)=0," ",LOOKUP(M46,PPTO!$J$8:J$269,PPTO!B$8:B$269))</f>
        <v xml:space="preserve"> </v>
      </c>
      <c r="C46" s="89" t="str">
        <f>IF(LOOKUP(M46,PPTO!$J$8:$J$269,PPTO!D$8:D$269)=0," ",LOOKUP(M46,PPTO!$J$8:$J$269,PPTO!D$8:D$269))</f>
        <v>M3</v>
      </c>
      <c r="D46" s="90" t="str">
        <f>IF(LOOKUP(M46,PPTO!$J$8:$J$269,PPTO!E$8:E$269)=0," ",LOOKUP(M46,PPTO!$J$8:$J$269,PPTO!E$8:E$269))</f>
        <v xml:space="preserve"> </v>
      </c>
      <c r="E46" s="90" t="str">
        <f>IF(LOOKUP(M46,PPTO!$J$8:$J$269,PPTO!F$8:F$269)=0," ",LOOKUP(M46,PPTO!$J$8:$J$269,PPTO!F$8:F$269))</f>
        <v xml:space="preserve"> </v>
      </c>
      <c r="F46" s="90" t="str">
        <f>IF(LOOKUP(M46,PPTO!$J$8:$J$269,PPTO!H$8:H$269)=0," ",LOOKUP(M46,PPTO!$J$8:$J$269,PPTO!H$8:H$269))</f>
        <v xml:space="preserve"> </v>
      </c>
      <c r="G46" s="178">
        <v>453.24</v>
      </c>
      <c r="H46" s="102" t="e">
        <f t="shared" si="1"/>
        <v>#VALUE!</v>
      </c>
      <c r="I46" s="174">
        <v>0</v>
      </c>
      <c r="J46" s="102" t="e">
        <f t="shared" si="2"/>
        <v>#VALUE!</v>
      </c>
      <c r="K46" s="102" t="e">
        <f>I46+'ACTA PARCIAL No.5'!K46</f>
        <v>#REF!</v>
      </c>
      <c r="L46" s="102" t="e">
        <f t="shared" si="3"/>
        <v>#REF!</v>
      </c>
      <c r="M46" s="108">
        <f t="shared" si="0"/>
        <v>30</v>
      </c>
    </row>
    <row r="47" spans="1:13">
      <c r="A47" s="87" t="str">
        <f>IF(LOOKUP(M47,PPTO!$J$8:$J$269,PPTO!A$8:A$269)=0," ",LOOKUP(M47,PPTO!$J$8:$J$269,PPTO!A$8:A$269))</f>
        <v>4.10</v>
      </c>
      <c r="B47" s="91" t="str">
        <f>IF(LOOKUP(M47,PPTO!$J$8:J$269,PPTO!B$8:B$269)=0," ",LOOKUP(M47,PPTO!$J$8:J$269,PPTO!B$8:B$269))</f>
        <v xml:space="preserve"> </v>
      </c>
      <c r="C47" s="89" t="str">
        <f>IF(LOOKUP(M47,PPTO!$J$8:$J$269,PPTO!D$8:D$269)=0," ",LOOKUP(M47,PPTO!$J$8:$J$269,PPTO!D$8:D$269))</f>
        <v>M3</v>
      </c>
      <c r="D47" s="90" t="str">
        <f>IF(LOOKUP(M47,PPTO!$J$8:$J$269,PPTO!E$8:E$269)=0," ",LOOKUP(M47,PPTO!$J$8:$J$269,PPTO!E$8:E$269))</f>
        <v xml:space="preserve"> </v>
      </c>
      <c r="E47" s="90" t="str">
        <f>IF(LOOKUP(M47,PPTO!$J$8:$J$269,PPTO!F$8:F$269)=0," ",LOOKUP(M47,PPTO!$J$8:$J$269,PPTO!F$8:F$269))</f>
        <v xml:space="preserve"> </v>
      </c>
      <c r="F47" s="90" t="str">
        <f>IF(LOOKUP(M47,PPTO!$J$8:$J$269,PPTO!H$8:H$269)=0," ",LOOKUP(M47,PPTO!$J$8:$J$269,PPTO!H$8:H$269))</f>
        <v xml:space="preserve"> </v>
      </c>
      <c r="G47" s="178">
        <v>2381.3200000000002</v>
      </c>
      <c r="H47" s="102" t="e">
        <f t="shared" si="1"/>
        <v>#VALUE!</v>
      </c>
      <c r="I47" s="174">
        <v>0</v>
      </c>
      <c r="J47" s="102" t="e">
        <f t="shared" si="2"/>
        <v>#VALUE!</v>
      </c>
      <c r="K47" s="102" t="e">
        <f>I47+'ACTA PARCIAL No.5'!K47</f>
        <v>#REF!</v>
      </c>
      <c r="L47" s="102" t="e">
        <f t="shared" si="3"/>
        <v>#REF!</v>
      </c>
      <c r="M47" s="108">
        <f t="shared" si="0"/>
        <v>31</v>
      </c>
    </row>
    <row r="48" spans="1:13">
      <c r="A48" s="87">
        <f>IF(LOOKUP(M48,PPTO!$J$8:$J$269,PPTO!A$8:A$269)=0," ",LOOKUP(M48,PPTO!$J$8:$J$269,PPTO!A$8:A$269))</f>
        <v>5</v>
      </c>
      <c r="B48" s="91" t="str">
        <f>IF(LOOKUP(M48,PPTO!$J$8:J$269,PPTO!B$8:B$269)=0," ",LOOKUP(M48,PPTO!$J$8:J$269,PPTO!B$8:B$269))</f>
        <v>ESTRUCTURAS SANITARIAS EN CONCRETO</v>
      </c>
      <c r="C48" s="89" t="str">
        <f>IF(LOOKUP(M48,PPTO!$J$8:$J$269,PPTO!D$8:D$269)=0," ",LOOKUP(M48,PPTO!$J$8:$J$269,PPTO!D$8:D$269))</f>
        <v xml:space="preserve"> </v>
      </c>
      <c r="D48" s="90" t="str">
        <f>IF(LOOKUP(M48,PPTO!$J$8:$J$269,PPTO!E$8:E$269)=0," ",LOOKUP(M48,PPTO!$J$8:$J$269,PPTO!E$8:E$269))</f>
        <v xml:space="preserve"> </v>
      </c>
      <c r="E48" s="90" t="str">
        <f>IF(LOOKUP(M48,PPTO!$J$8:$J$269,PPTO!F$8:F$269)=0," ",LOOKUP(M48,PPTO!$J$8:$J$269,PPTO!F$8:F$269))</f>
        <v xml:space="preserve"> </v>
      </c>
      <c r="F48" s="90" t="str">
        <f>IF(LOOKUP(M48,PPTO!$J$8:$J$269,PPTO!H$8:H$269)=0," ",LOOKUP(M48,PPTO!$J$8:$J$269,PPTO!H$8:H$269))</f>
        <v xml:space="preserve"> </v>
      </c>
      <c r="G48" s="178"/>
      <c r="H48" s="102"/>
      <c r="I48" s="174"/>
      <c r="J48" s="102"/>
      <c r="K48" s="102"/>
      <c r="L48" s="102"/>
      <c r="M48" s="108">
        <f t="shared" si="0"/>
        <v>32</v>
      </c>
    </row>
    <row r="49" spans="1:13">
      <c r="A49" s="87" t="str">
        <f>IF(LOOKUP(M49,PPTO!$J$8:$J$269,PPTO!A$8:A$269)=0," ",LOOKUP(M49,PPTO!$J$8:$J$269,PPTO!A$8:A$269))</f>
        <v>5.01</v>
      </c>
      <c r="B49" s="91" t="str">
        <f>IF(LOOKUP(M49,PPTO!$J$8:J$269,PPTO!B$8:B$269)=0," ",LOOKUP(M49,PPTO!$J$8:J$269,PPTO!B$8:B$269))</f>
        <v xml:space="preserve"> </v>
      </c>
      <c r="C49" s="89" t="str">
        <f>IF(LOOKUP(M49,PPTO!$J$8:$J$269,PPTO!D$8:D$269)=0," ",LOOKUP(M49,PPTO!$J$8:$J$269,PPTO!D$8:D$269))</f>
        <v>M3</v>
      </c>
      <c r="D49" s="90" t="str">
        <f>IF(LOOKUP(M49,PPTO!$J$8:$J$269,PPTO!E$8:E$269)=0," ",LOOKUP(M49,PPTO!$J$8:$J$269,PPTO!E$8:E$269))</f>
        <v xml:space="preserve"> </v>
      </c>
      <c r="E49" s="90" t="str">
        <f>IF(LOOKUP(M49,PPTO!$J$8:$J$269,PPTO!F$8:F$269)=0," ",LOOKUP(M49,PPTO!$J$8:$J$269,PPTO!F$8:F$269))</f>
        <v xml:space="preserve"> </v>
      </c>
      <c r="F49" s="90" t="str">
        <f>IF(LOOKUP(M49,PPTO!$J$8:$J$269,PPTO!H$8:H$269)=0," ",LOOKUP(M49,PPTO!$J$8:$J$269,PPTO!H$8:H$269))</f>
        <v xml:space="preserve"> </v>
      </c>
      <c r="G49" s="178">
        <v>293.73</v>
      </c>
      <c r="H49" s="102" t="e">
        <f t="shared" si="1"/>
        <v>#VALUE!</v>
      </c>
      <c r="I49" s="174">
        <v>0</v>
      </c>
      <c r="J49" s="102" t="e">
        <f t="shared" si="2"/>
        <v>#VALUE!</v>
      </c>
      <c r="K49" s="102" t="e">
        <f>I49+'ACTA PARCIAL No.5'!K49</f>
        <v>#REF!</v>
      </c>
      <c r="L49" s="102" t="e">
        <f t="shared" si="3"/>
        <v>#REF!</v>
      </c>
      <c r="M49" s="108">
        <f t="shared" si="0"/>
        <v>33</v>
      </c>
    </row>
    <row r="50" spans="1:13">
      <c r="A50" s="87" t="str">
        <f>IF(LOOKUP(M50,PPTO!$J$8:$J$269,PPTO!A$8:A$269)=0," ",LOOKUP(M50,PPTO!$J$8:$J$269,PPTO!A$8:A$269))</f>
        <v>5.02</v>
      </c>
      <c r="B50" s="91" t="str">
        <f>IF(LOOKUP(M50,PPTO!$J$8:J$269,PPTO!B$8:B$269)=0," ",LOOKUP(M50,PPTO!$J$8:J$269,PPTO!B$8:B$269))</f>
        <v xml:space="preserve"> </v>
      </c>
      <c r="C50" s="89" t="str">
        <f>IF(LOOKUP(M50,PPTO!$J$8:$J$269,PPTO!D$8:D$269)=0," ",LOOKUP(M50,PPTO!$J$8:$J$269,PPTO!D$8:D$269))</f>
        <v>UND</v>
      </c>
      <c r="D50" s="90" t="str">
        <f>IF(LOOKUP(M50,PPTO!$J$8:$J$269,PPTO!E$8:E$269)=0," ",LOOKUP(M50,PPTO!$J$8:$J$269,PPTO!E$8:E$269))</f>
        <v xml:space="preserve"> </v>
      </c>
      <c r="E50" s="90" t="str">
        <f>IF(LOOKUP(M50,PPTO!$J$8:$J$269,PPTO!F$8:F$269)=0," ",LOOKUP(M50,PPTO!$J$8:$J$269,PPTO!F$8:F$269))</f>
        <v xml:space="preserve"> </v>
      </c>
      <c r="F50" s="90" t="str">
        <f>IF(LOOKUP(M50,PPTO!$J$8:$J$269,PPTO!H$8:H$269)=0," ",LOOKUP(M50,PPTO!$J$8:$J$269,PPTO!H$8:H$269))</f>
        <v xml:space="preserve"> </v>
      </c>
      <c r="G50" s="178">
        <v>912.33</v>
      </c>
      <c r="H50" s="102" t="e">
        <f t="shared" si="1"/>
        <v>#VALUE!</v>
      </c>
      <c r="I50" s="174">
        <v>0</v>
      </c>
      <c r="J50" s="102" t="e">
        <f t="shared" si="2"/>
        <v>#VALUE!</v>
      </c>
      <c r="K50" s="102" t="e">
        <f>I50+'ACTA PARCIAL No.5'!K50</f>
        <v>#REF!</v>
      </c>
      <c r="L50" s="102" t="e">
        <f t="shared" si="3"/>
        <v>#REF!</v>
      </c>
      <c r="M50" s="108">
        <f t="shared" si="0"/>
        <v>34</v>
      </c>
    </row>
    <row r="51" spans="1:13">
      <c r="A51" s="87" t="str">
        <f>IF(LOOKUP(M51,PPTO!$J$8:$J$269,PPTO!A$8:A$269)=0," ",LOOKUP(M51,PPTO!$J$8:$J$269,PPTO!A$8:A$269))</f>
        <v>5.03</v>
      </c>
      <c r="B51" s="91" t="str">
        <f>IF(LOOKUP(M51,PPTO!$J$8:J$269,PPTO!B$8:B$269)=0," ",LOOKUP(M51,PPTO!$J$8:J$269,PPTO!B$8:B$269))</f>
        <v xml:space="preserve"> </v>
      </c>
      <c r="C51" s="89" t="str">
        <f>IF(LOOKUP(M51,PPTO!$J$8:$J$269,PPTO!D$8:D$269)=0," ",LOOKUP(M51,PPTO!$J$8:$J$269,PPTO!D$8:D$269))</f>
        <v>UND</v>
      </c>
      <c r="D51" s="90" t="str">
        <f>IF(LOOKUP(M51,PPTO!$J$8:$J$269,PPTO!E$8:E$269)=0," ",LOOKUP(M51,PPTO!$J$8:$J$269,PPTO!E$8:E$269))</f>
        <v xml:space="preserve"> </v>
      </c>
      <c r="E51" s="90" t="str">
        <f>IF(LOOKUP(M51,PPTO!$J$8:$J$269,PPTO!F$8:F$269)=0," ",LOOKUP(M51,PPTO!$J$8:$J$269,PPTO!F$8:F$269))</f>
        <v xml:space="preserve"> </v>
      </c>
      <c r="F51" s="90" t="str">
        <f>IF(LOOKUP(M51,PPTO!$J$8:$J$269,PPTO!H$8:H$269)=0," ",LOOKUP(M51,PPTO!$J$8:$J$269,PPTO!H$8:H$269))</f>
        <v xml:space="preserve"> </v>
      </c>
      <c r="G51" s="178">
        <v>1259</v>
      </c>
      <c r="H51" s="102" t="e">
        <f t="shared" si="1"/>
        <v>#VALUE!</v>
      </c>
      <c r="I51" s="174">
        <v>0</v>
      </c>
      <c r="J51" s="102" t="e">
        <f t="shared" si="2"/>
        <v>#VALUE!</v>
      </c>
      <c r="K51" s="102" t="e">
        <f>I51+'ACTA PARCIAL No.5'!K51</f>
        <v>#REF!</v>
      </c>
      <c r="L51" s="102" t="e">
        <f t="shared" si="3"/>
        <v>#REF!</v>
      </c>
      <c r="M51" s="108">
        <f t="shared" si="0"/>
        <v>35</v>
      </c>
    </row>
    <row r="52" spans="1:13">
      <c r="A52" s="87" t="str">
        <f>IF(LOOKUP(M52,PPTO!$J$8:$J$269,PPTO!A$8:A$269)=0," ",LOOKUP(M52,PPTO!$J$8:$J$269,PPTO!A$8:A$269))</f>
        <v>5.04</v>
      </c>
      <c r="B52" s="91" t="str">
        <f>IF(LOOKUP(M52,PPTO!$J$8:J$269,PPTO!B$8:B$269)=0," ",LOOKUP(M52,PPTO!$J$8:J$269,PPTO!B$8:B$269))</f>
        <v xml:space="preserve"> </v>
      </c>
      <c r="C52" s="89" t="str">
        <f>IF(LOOKUP(M52,PPTO!$J$8:$J$269,PPTO!D$8:D$269)=0," ",LOOKUP(M52,PPTO!$J$8:$J$269,PPTO!D$8:D$269))</f>
        <v>UND</v>
      </c>
      <c r="D52" s="90" t="str">
        <f>IF(LOOKUP(M52,PPTO!$J$8:$J$269,PPTO!E$8:E$269)=0," ",LOOKUP(M52,PPTO!$J$8:$J$269,PPTO!E$8:E$269))</f>
        <v xml:space="preserve"> </v>
      </c>
      <c r="E52" s="90" t="str">
        <f>IF(LOOKUP(M52,PPTO!$J$8:$J$269,PPTO!F$8:F$269)=0," ",LOOKUP(M52,PPTO!$J$8:$J$269,PPTO!F$8:F$269))</f>
        <v xml:space="preserve"> </v>
      </c>
      <c r="F52" s="90" t="str">
        <f>IF(LOOKUP(M52,PPTO!$J$8:$J$269,PPTO!H$8:H$269)=0," ",LOOKUP(M52,PPTO!$J$8:$J$269,PPTO!H$8:H$269))</f>
        <v xml:space="preserve"> </v>
      </c>
      <c r="G52" s="178">
        <v>140</v>
      </c>
      <c r="H52" s="102" t="e">
        <f t="shared" si="1"/>
        <v>#VALUE!</v>
      </c>
      <c r="I52" s="174">
        <v>0</v>
      </c>
      <c r="J52" s="102" t="e">
        <f t="shared" si="2"/>
        <v>#VALUE!</v>
      </c>
      <c r="K52" s="102" t="e">
        <f>I52+'ACTA PARCIAL No.5'!K52</f>
        <v>#REF!</v>
      </c>
      <c r="L52" s="102" t="e">
        <f t="shared" si="3"/>
        <v>#REF!</v>
      </c>
      <c r="M52" s="108">
        <f t="shared" si="0"/>
        <v>36</v>
      </c>
    </row>
    <row r="53" spans="1:13">
      <c r="A53" s="87" t="str">
        <f>IF(LOOKUP(M53,PPTO!$J$8:$J$269,PPTO!A$8:A$269)=0," ",LOOKUP(M53,PPTO!$J$8:$J$269,PPTO!A$8:A$269))</f>
        <v>5.05</v>
      </c>
      <c r="B53" s="91" t="str">
        <f>IF(LOOKUP(M53,PPTO!$J$8:J$269,PPTO!B$8:B$269)=0," ",LOOKUP(M53,PPTO!$J$8:J$269,PPTO!B$8:B$269))</f>
        <v xml:space="preserve"> </v>
      </c>
      <c r="C53" s="89" t="str">
        <f>IF(LOOKUP(M53,PPTO!$J$8:$J$269,PPTO!D$8:D$269)=0," ",LOOKUP(M53,PPTO!$J$8:$J$269,PPTO!D$8:D$269))</f>
        <v>UND</v>
      </c>
      <c r="D53" s="90" t="str">
        <f>IF(LOOKUP(M53,PPTO!$J$8:$J$269,PPTO!E$8:E$269)=0," ",LOOKUP(M53,PPTO!$J$8:$J$269,PPTO!E$8:E$269))</f>
        <v xml:space="preserve"> </v>
      </c>
      <c r="E53" s="90" t="str">
        <f>IF(LOOKUP(M53,PPTO!$J$8:$J$269,PPTO!F$8:F$269)=0," ",LOOKUP(M53,PPTO!$J$8:$J$269,PPTO!F$8:F$269))</f>
        <v xml:space="preserve"> </v>
      </c>
      <c r="F53" s="90" t="str">
        <f>IF(LOOKUP(M53,PPTO!$J$8:$J$269,PPTO!H$8:H$269)=0," ",LOOKUP(M53,PPTO!$J$8:$J$269,PPTO!H$8:H$269))</f>
        <v xml:space="preserve"> </v>
      </c>
      <c r="G53" s="178">
        <v>84</v>
      </c>
      <c r="H53" s="102" t="e">
        <f t="shared" si="1"/>
        <v>#VALUE!</v>
      </c>
      <c r="I53" s="174">
        <v>0</v>
      </c>
      <c r="J53" s="102" t="e">
        <f t="shared" si="2"/>
        <v>#VALUE!</v>
      </c>
      <c r="K53" s="102" t="e">
        <f>I53+'ACTA PARCIAL No.5'!K53</f>
        <v>#REF!</v>
      </c>
      <c r="L53" s="102" t="e">
        <f t="shared" si="3"/>
        <v>#REF!</v>
      </c>
      <c r="M53" s="108">
        <f t="shared" si="0"/>
        <v>37</v>
      </c>
    </row>
    <row r="54" spans="1:13">
      <c r="A54" s="87" t="str">
        <f>IF(LOOKUP(M54,PPTO!$J$8:$J$269,PPTO!A$8:A$269)=0," ",LOOKUP(M54,PPTO!$J$8:$J$269,PPTO!A$8:A$269))</f>
        <v>5.06</v>
      </c>
      <c r="B54" s="91" t="str">
        <f>IF(LOOKUP(M54,PPTO!$J$8:J$269,PPTO!B$8:B$269)=0," ",LOOKUP(M54,PPTO!$J$8:J$269,PPTO!B$8:B$269))</f>
        <v xml:space="preserve"> </v>
      </c>
      <c r="C54" s="89" t="str">
        <f>IF(LOOKUP(M54,PPTO!$J$8:$J$269,PPTO!D$8:D$269)=0," ",LOOKUP(M54,PPTO!$J$8:$J$269,PPTO!D$8:D$269))</f>
        <v>UND</v>
      </c>
      <c r="D54" s="90" t="str">
        <f>IF(LOOKUP(M54,PPTO!$J$8:$J$269,PPTO!E$8:E$269)=0," ",LOOKUP(M54,PPTO!$J$8:$J$269,PPTO!E$8:E$269))</f>
        <v xml:space="preserve"> </v>
      </c>
      <c r="E54" s="90" t="str">
        <f>IF(LOOKUP(M54,PPTO!$J$8:$J$269,PPTO!F$8:F$269)=0," ",LOOKUP(M54,PPTO!$J$8:$J$269,PPTO!F$8:F$269))</f>
        <v xml:space="preserve"> </v>
      </c>
      <c r="F54" s="90" t="str">
        <f>IF(LOOKUP(M54,PPTO!$J$8:$J$269,PPTO!H$8:H$269)=0," ",LOOKUP(M54,PPTO!$J$8:$J$269,PPTO!H$8:H$269))</f>
        <v xml:space="preserve"> </v>
      </c>
      <c r="G54" s="178">
        <v>19</v>
      </c>
      <c r="H54" s="102" t="e">
        <f t="shared" si="1"/>
        <v>#VALUE!</v>
      </c>
      <c r="I54" s="174">
        <v>0</v>
      </c>
      <c r="J54" s="102" t="e">
        <f t="shared" si="2"/>
        <v>#VALUE!</v>
      </c>
      <c r="K54" s="102" t="e">
        <f>I54+'ACTA PARCIAL No.5'!K54</f>
        <v>#REF!</v>
      </c>
      <c r="L54" s="102" t="e">
        <f t="shared" si="3"/>
        <v>#REF!</v>
      </c>
      <c r="M54" s="108">
        <f t="shared" si="0"/>
        <v>38</v>
      </c>
    </row>
    <row r="55" spans="1:13">
      <c r="A55" s="87">
        <f>IF(LOOKUP(M55,PPTO!$J$8:$J$269,PPTO!A$8:A$269)=0," ",LOOKUP(M55,PPTO!$J$8:$J$269,PPTO!A$8:A$269))</f>
        <v>6</v>
      </c>
      <c r="B55" s="91" t="str">
        <f>IF(LOOKUP(M55,PPTO!$J$8:J$269,PPTO!B$8:B$269)=0," ",LOOKUP(M55,PPTO!$J$8:J$269,PPTO!B$8:B$269))</f>
        <v>CONSTRUCCION DE PAVIMENTOS</v>
      </c>
      <c r="C55" s="89" t="str">
        <f>IF(LOOKUP(M55,PPTO!$J$8:$J$269,PPTO!D$8:D$269)=0," ",LOOKUP(M55,PPTO!$J$8:$J$269,PPTO!D$8:D$269))</f>
        <v xml:space="preserve"> </v>
      </c>
      <c r="D55" s="90" t="str">
        <f>IF(LOOKUP(M55,PPTO!$J$8:$J$269,PPTO!E$8:E$269)=0," ",LOOKUP(M55,PPTO!$J$8:$J$269,PPTO!E$8:E$269))</f>
        <v xml:space="preserve"> </v>
      </c>
      <c r="E55" s="90" t="str">
        <f>IF(LOOKUP(M55,PPTO!$J$8:$J$269,PPTO!F$8:F$269)=0," ",LOOKUP(M55,PPTO!$J$8:$J$269,PPTO!F$8:F$269))</f>
        <v xml:space="preserve"> </v>
      </c>
      <c r="F55" s="90" t="str">
        <f>IF(LOOKUP(M55,PPTO!$J$8:$J$269,PPTO!H$8:H$269)=0," ",LOOKUP(M55,PPTO!$J$8:$J$269,PPTO!H$8:H$269))</f>
        <v xml:space="preserve"> </v>
      </c>
      <c r="G55" s="178"/>
      <c r="H55" s="102"/>
      <c r="I55" s="174"/>
      <c r="J55" s="102"/>
      <c r="K55" s="102"/>
      <c r="L55" s="102"/>
      <c r="M55" s="108">
        <f t="shared" si="0"/>
        <v>39</v>
      </c>
    </row>
    <row r="56" spans="1:13">
      <c r="A56" s="87" t="str">
        <f>IF(LOOKUP(M56,PPTO!$J$8:$J$269,PPTO!A$8:A$269)=0," ",LOOKUP(M56,PPTO!$J$8:$J$269,PPTO!A$8:A$269))</f>
        <v>6.01</v>
      </c>
      <c r="B56" s="91" t="str">
        <f>IF(LOOKUP(M56,PPTO!$J$8:J$269,PPTO!B$8:B$269)=0," ",LOOKUP(M56,PPTO!$J$8:J$269,PPTO!B$8:B$269))</f>
        <v xml:space="preserve"> </v>
      </c>
      <c r="C56" s="89" t="str">
        <f>IF(LOOKUP(M56,PPTO!$J$8:$J$269,PPTO!D$8:D$269)=0," ",LOOKUP(M56,PPTO!$J$8:$J$269,PPTO!D$8:D$269))</f>
        <v>M2</v>
      </c>
      <c r="D56" s="90" t="str">
        <f>IF(LOOKUP(M56,PPTO!$J$8:$J$269,PPTO!E$8:E$269)=0," ",LOOKUP(M56,PPTO!$J$8:$J$269,PPTO!E$8:E$269))</f>
        <v xml:space="preserve"> </v>
      </c>
      <c r="E56" s="90" t="str">
        <f>IF(LOOKUP(M56,PPTO!$J$8:$J$269,PPTO!F$8:F$269)=0," ",LOOKUP(M56,PPTO!$J$8:$J$269,PPTO!F$8:F$269))</f>
        <v xml:space="preserve"> </v>
      </c>
      <c r="F56" s="90" t="str">
        <f>IF(LOOKUP(M56,PPTO!$J$8:$J$269,PPTO!H$8:H$269)=0," ",LOOKUP(M56,PPTO!$J$8:$J$269,PPTO!H$8:H$269))</f>
        <v xml:space="preserve"> </v>
      </c>
      <c r="G56" s="178">
        <v>4134</v>
      </c>
      <c r="H56" s="102" t="e">
        <f t="shared" si="1"/>
        <v>#VALUE!</v>
      </c>
      <c r="I56" s="174">
        <v>0</v>
      </c>
      <c r="J56" s="102" t="e">
        <f t="shared" si="2"/>
        <v>#VALUE!</v>
      </c>
      <c r="K56" s="102" t="e">
        <f>I56+'ACTA PARCIAL No.5'!K56</f>
        <v>#REF!</v>
      </c>
      <c r="L56" s="102" t="e">
        <f t="shared" si="3"/>
        <v>#REF!</v>
      </c>
      <c r="M56" s="108">
        <f t="shared" si="0"/>
        <v>40</v>
      </c>
    </row>
    <row r="57" spans="1:13">
      <c r="A57" s="87" t="str">
        <f>IF(LOOKUP(M57,PPTO!$J$8:$J$269,PPTO!A$8:A$269)=0," ",LOOKUP(M57,PPTO!$J$8:$J$269,PPTO!A$8:A$269))</f>
        <v>6.02</v>
      </c>
      <c r="B57" s="91" t="str">
        <f>IF(LOOKUP(M57,PPTO!$J$8:J$269,PPTO!B$8:B$269)=0," ",LOOKUP(M57,PPTO!$J$8:J$269,PPTO!B$8:B$269))</f>
        <v xml:space="preserve"> </v>
      </c>
      <c r="C57" s="89" t="str">
        <f>IF(LOOKUP(M57,PPTO!$J$8:$J$269,PPTO!D$8:D$269)=0," ",LOOKUP(M57,PPTO!$J$8:$J$269,PPTO!D$8:D$269))</f>
        <v>M3</v>
      </c>
      <c r="D57" s="90" t="str">
        <f>IF(LOOKUP(M57,PPTO!$J$8:$J$269,PPTO!E$8:E$269)=0," ",LOOKUP(M57,PPTO!$J$8:$J$269,PPTO!E$8:E$269))</f>
        <v xml:space="preserve"> </v>
      </c>
      <c r="E57" s="90" t="str">
        <f>IF(LOOKUP(M57,PPTO!$J$8:$J$269,PPTO!F$8:F$269)=0," ",LOOKUP(M57,PPTO!$J$8:$J$269,PPTO!F$8:F$269))</f>
        <v xml:space="preserve"> </v>
      </c>
      <c r="F57" s="90" t="str">
        <f>IF(LOOKUP(M57,PPTO!$J$8:$J$269,PPTO!H$8:H$269)=0," ",LOOKUP(M57,PPTO!$J$8:$J$269,PPTO!H$8:H$269))</f>
        <v xml:space="preserve"> </v>
      </c>
      <c r="G57" s="178">
        <v>1243</v>
      </c>
      <c r="H57" s="102" t="e">
        <f t="shared" si="1"/>
        <v>#VALUE!</v>
      </c>
      <c r="I57" s="174">
        <v>0</v>
      </c>
      <c r="J57" s="102" t="e">
        <f t="shared" si="2"/>
        <v>#VALUE!</v>
      </c>
      <c r="K57" s="102" t="e">
        <f>I57+'ACTA PARCIAL No.5'!K57</f>
        <v>#REF!</v>
      </c>
      <c r="L57" s="102" t="e">
        <f t="shared" si="3"/>
        <v>#REF!</v>
      </c>
      <c r="M57" s="108">
        <f t="shared" si="0"/>
        <v>41</v>
      </c>
    </row>
    <row r="58" spans="1:13">
      <c r="A58" s="87" t="str">
        <f>IF(LOOKUP(M58,PPTO!$J$8:$J$269,PPTO!A$8:A$269)=0," ",LOOKUP(M58,PPTO!$J$8:$J$269,PPTO!A$8:A$269))</f>
        <v>6.04</v>
      </c>
      <c r="B58" s="91" t="str">
        <f>IF(LOOKUP(M58,PPTO!$J$8:J$269,PPTO!B$8:B$269)=0," ",LOOKUP(M58,PPTO!$J$8:J$269,PPTO!B$8:B$269))</f>
        <v xml:space="preserve"> </v>
      </c>
      <c r="C58" s="89" t="str">
        <f>IF(LOOKUP(M58,PPTO!$J$8:$J$269,PPTO!D$8:D$269)=0," ",LOOKUP(M58,PPTO!$J$8:$J$269,PPTO!D$8:D$269))</f>
        <v>M2</v>
      </c>
      <c r="D58" s="90" t="str">
        <f>IF(LOOKUP(M58,PPTO!$J$8:$J$269,PPTO!E$8:E$269)=0," ",LOOKUP(M58,PPTO!$J$8:$J$269,PPTO!E$8:E$269))</f>
        <v xml:space="preserve"> </v>
      </c>
      <c r="E58" s="90" t="str">
        <f>IF(LOOKUP(M58,PPTO!$J$8:$J$269,PPTO!F$8:F$269)=0," ",LOOKUP(M58,PPTO!$J$8:$J$269,PPTO!F$8:F$269))</f>
        <v xml:space="preserve"> </v>
      </c>
      <c r="F58" s="90" t="str">
        <f>IF(LOOKUP(M58,PPTO!$J$8:$J$269,PPTO!H$8:H$269)=0," ",LOOKUP(M58,PPTO!$J$8:$J$269,PPTO!H$8:H$269))</f>
        <v xml:space="preserve"> </v>
      </c>
      <c r="G58" s="178">
        <v>1259</v>
      </c>
      <c r="H58" s="102" t="e">
        <f t="shared" si="1"/>
        <v>#VALUE!</v>
      </c>
      <c r="I58" s="174">
        <v>0</v>
      </c>
      <c r="J58" s="102" t="e">
        <f t="shared" si="2"/>
        <v>#VALUE!</v>
      </c>
      <c r="K58" s="102" t="e">
        <f>I58+'ACTA PARCIAL No.5'!K58</f>
        <v>#REF!</v>
      </c>
      <c r="L58" s="102" t="e">
        <f t="shared" si="3"/>
        <v>#REF!</v>
      </c>
      <c r="M58" s="108">
        <f t="shared" si="0"/>
        <v>42</v>
      </c>
    </row>
    <row r="59" spans="1:13">
      <c r="A59" s="87" t="str">
        <f>IF(LOOKUP(M59,PPTO!$J$8:$J$269,PPTO!A$8:A$269)=0," ",LOOKUP(M59,PPTO!$J$8:$J$269,PPTO!A$8:A$269))</f>
        <v>6.05</v>
      </c>
      <c r="B59" s="91" t="str">
        <f>IF(LOOKUP(M59,PPTO!$J$8:J$269,PPTO!B$8:B$269)=0," ",LOOKUP(M59,PPTO!$J$8:J$269,PPTO!B$8:B$269))</f>
        <v xml:space="preserve"> </v>
      </c>
      <c r="C59" s="89" t="str">
        <f>IF(LOOKUP(M59,PPTO!$J$8:$J$269,PPTO!D$8:D$269)=0," ",LOOKUP(M59,PPTO!$J$8:$J$269,PPTO!D$8:D$269))</f>
        <v>ML</v>
      </c>
      <c r="D59" s="90" t="str">
        <f>IF(LOOKUP(M59,PPTO!$J$8:$J$269,PPTO!E$8:E$269)=0," ",LOOKUP(M59,PPTO!$J$8:$J$269,PPTO!E$8:E$269))</f>
        <v xml:space="preserve"> </v>
      </c>
      <c r="E59" s="90" t="str">
        <f>IF(LOOKUP(M59,PPTO!$J$8:$J$269,PPTO!F$8:F$269)=0," ",LOOKUP(M59,PPTO!$J$8:$J$269,PPTO!F$8:F$269))</f>
        <v xml:space="preserve"> </v>
      </c>
      <c r="F59" s="90" t="str">
        <f>IF(LOOKUP(M59,PPTO!$J$8:$J$269,PPTO!H$8:H$269)=0," ",LOOKUP(M59,PPTO!$J$8:$J$269,PPTO!H$8:H$269))</f>
        <v xml:space="preserve"> </v>
      </c>
      <c r="G59" s="178">
        <v>1259</v>
      </c>
      <c r="H59" s="102" t="e">
        <f t="shared" si="1"/>
        <v>#VALUE!</v>
      </c>
      <c r="I59" s="174">
        <v>0</v>
      </c>
      <c r="J59" s="102" t="e">
        <f t="shared" si="2"/>
        <v>#VALUE!</v>
      </c>
      <c r="K59" s="102" t="e">
        <f>I59+'ACTA PARCIAL No.5'!K59</f>
        <v>#REF!</v>
      </c>
      <c r="L59" s="102" t="e">
        <f t="shared" si="3"/>
        <v>#REF!</v>
      </c>
      <c r="M59" s="108">
        <f t="shared" si="0"/>
        <v>43</v>
      </c>
    </row>
    <row r="60" spans="1:13">
      <c r="A60" s="87" t="str">
        <f>IF(LOOKUP(M60,PPTO!$J$8:$J$269,PPTO!A$8:A$269)=0," ",LOOKUP(M60,PPTO!$J$8:$J$269,PPTO!A$8:A$269))</f>
        <v>6.06</v>
      </c>
      <c r="B60" s="91" t="str">
        <f>IF(LOOKUP(M60,PPTO!$J$8:J$269,PPTO!B$8:B$269)=0," ",LOOKUP(M60,PPTO!$J$8:J$269,PPTO!B$8:B$269))</f>
        <v xml:space="preserve"> </v>
      </c>
      <c r="C60" s="89" t="str">
        <f>IF(LOOKUP(M60,PPTO!$J$8:$J$269,PPTO!D$8:D$269)=0," ",LOOKUP(M60,PPTO!$J$8:$J$269,PPTO!D$8:D$269))</f>
        <v>M2</v>
      </c>
      <c r="D60" s="90" t="str">
        <f>IF(LOOKUP(M60,PPTO!$J$8:$J$269,PPTO!E$8:E$269)=0," ",LOOKUP(M60,PPTO!$J$8:$J$269,PPTO!E$8:E$269))</f>
        <v xml:space="preserve"> </v>
      </c>
      <c r="E60" s="90" t="str">
        <f>IF(LOOKUP(M60,PPTO!$J$8:$J$269,PPTO!F$8:F$269)=0," ",LOOKUP(M60,PPTO!$J$8:$J$269,PPTO!F$8:F$269))</f>
        <v xml:space="preserve"> </v>
      </c>
      <c r="F60" s="90" t="str">
        <f>IF(LOOKUP(M60,PPTO!$J$8:$J$269,PPTO!H$8:H$269)=0," ",LOOKUP(M60,PPTO!$J$8:$J$269,PPTO!H$8:H$269))</f>
        <v xml:space="preserve"> </v>
      </c>
      <c r="G60" s="178">
        <v>140</v>
      </c>
      <c r="H60" s="102" t="e">
        <f t="shared" si="1"/>
        <v>#VALUE!</v>
      </c>
      <c r="I60" s="174">
        <v>0</v>
      </c>
      <c r="J60" s="102" t="e">
        <f t="shared" si="2"/>
        <v>#VALUE!</v>
      </c>
      <c r="K60" s="102" t="e">
        <f>I60+'ACTA PARCIAL No.5'!K60</f>
        <v>#REF!</v>
      </c>
      <c r="L60" s="102" t="e">
        <f t="shared" si="3"/>
        <v>#REF!</v>
      </c>
      <c r="M60" s="108">
        <f t="shared" si="0"/>
        <v>44</v>
      </c>
    </row>
    <row r="61" spans="1:13">
      <c r="A61" s="87"/>
      <c r="B61" s="154"/>
      <c r="C61" s="155"/>
      <c r="D61" s="156"/>
      <c r="E61" s="156"/>
      <c r="F61" s="176"/>
      <c r="G61" s="179"/>
      <c r="H61" s="177"/>
      <c r="I61" s="174"/>
      <c r="J61" s="102"/>
      <c r="K61" s="102"/>
      <c r="L61" s="102"/>
      <c r="M61" s="108"/>
    </row>
    <row r="62" spans="1:13">
      <c r="A62" s="87"/>
      <c r="B62" s="275" t="s">
        <v>348</v>
      </c>
      <c r="C62" s="276"/>
      <c r="D62" s="277"/>
      <c r="E62" s="277"/>
      <c r="F62" s="277">
        <v>0</v>
      </c>
      <c r="G62" s="278"/>
      <c r="H62" s="278">
        <v>0</v>
      </c>
      <c r="I62" s="279"/>
      <c r="J62" s="279">
        <v>-1</v>
      </c>
      <c r="K62" s="279"/>
      <c r="L62" s="279">
        <v>0</v>
      </c>
      <c r="M62" s="108"/>
    </row>
    <row r="63" spans="1:13" ht="12.75" thickBot="1">
      <c r="A63" s="87"/>
      <c r="B63" s="154"/>
      <c r="C63" s="155"/>
      <c r="D63" s="156"/>
      <c r="E63" s="156"/>
      <c r="F63" s="156"/>
      <c r="G63" s="161"/>
      <c r="H63" s="161"/>
      <c r="I63" s="102"/>
      <c r="J63" s="102"/>
      <c r="K63" s="102"/>
      <c r="L63" s="102"/>
      <c r="M63" s="108"/>
    </row>
    <row r="64" spans="1:13" ht="12.75" thickBot="1">
      <c r="A64" s="87"/>
      <c r="B64" s="280" t="s">
        <v>323</v>
      </c>
      <c r="C64" s="281"/>
      <c r="D64" s="282"/>
      <c r="E64" s="282"/>
      <c r="F64" s="283">
        <f>SUM(F19:F63)</f>
        <v>0</v>
      </c>
      <c r="G64" s="284"/>
      <c r="H64" s="283" t="e">
        <f>SUM(H19:H63)</f>
        <v>#VALUE!</v>
      </c>
      <c r="I64" s="284"/>
      <c r="J64" s="283" t="e">
        <f>SUM(J19:J63)</f>
        <v>#VALUE!</v>
      </c>
      <c r="K64" s="284"/>
      <c r="L64" s="283" t="e">
        <f>SUM(L19:L63)</f>
        <v>#REF!</v>
      </c>
      <c r="M64" s="108"/>
    </row>
    <row r="65" spans="1:13">
      <c r="A65" s="87"/>
      <c r="B65" s="285" t="s">
        <v>174</v>
      </c>
      <c r="C65" s="286" t="s">
        <v>296</v>
      </c>
      <c r="D65" s="287">
        <f>DATOS!E184</f>
        <v>18.5</v>
      </c>
      <c r="E65" s="288"/>
      <c r="F65" s="288">
        <f>ROUND(F$64*$D$65/100,0)</f>
        <v>0</v>
      </c>
      <c r="G65" s="289"/>
      <c r="H65" s="288" t="e">
        <f>ROUND(H$64*$D$65/100,0)</f>
        <v>#VALUE!</v>
      </c>
      <c r="I65" s="289"/>
      <c r="J65" s="288" t="e">
        <f>ROUND(J$64*$D$65/100,0)</f>
        <v>#VALUE!</v>
      </c>
      <c r="K65" s="289"/>
      <c r="L65" s="288" t="e">
        <f>ROUND(L$64*$D$65/100,0)</f>
        <v>#REF!</v>
      </c>
      <c r="M65" s="108"/>
    </row>
    <row r="66" spans="1:13">
      <c r="A66" s="87"/>
      <c r="B66" s="290" t="s">
        <v>166</v>
      </c>
      <c r="C66" s="291" t="s">
        <v>296</v>
      </c>
      <c r="D66" s="292">
        <f>DATOS!E186</f>
        <v>5</v>
      </c>
      <c r="E66" s="293"/>
      <c r="F66" s="288">
        <f>ROUND(F$64*$D$66/100,0)</f>
        <v>0</v>
      </c>
      <c r="G66" s="279"/>
      <c r="H66" s="288" t="e">
        <f>ROUND(H$64*$D$66/100,0)</f>
        <v>#VALUE!</v>
      </c>
      <c r="I66" s="279"/>
      <c r="J66" s="288" t="e">
        <f>ROUND(J$64*$D$66/100,0)</f>
        <v>#VALUE!</v>
      </c>
      <c r="K66" s="279"/>
      <c r="L66" s="288" t="e">
        <f>ROUND(L$64*$D$66/100,0)</f>
        <v>#REF!</v>
      </c>
      <c r="M66" s="108"/>
    </row>
    <row r="67" spans="1:13" ht="12.75" thickBot="1">
      <c r="A67" s="87"/>
      <c r="B67" s="294" t="s">
        <v>167</v>
      </c>
      <c r="C67" s="295" t="s">
        <v>296</v>
      </c>
      <c r="D67" s="292">
        <f>DATOS!E188</f>
        <v>8</v>
      </c>
      <c r="E67" s="293"/>
      <c r="F67" s="288">
        <f>ROUND(F$64*$D$67/100,0)</f>
        <v>0</v>
      </c>
      <c r="G67" s="279"/>
      <c r="H67" s="288" t="e">
        <f>ROUND(H$64*$D$67/100,0)</f>
        <v>#VALUE!</v>
      </c>
      <c r="I67" s="279"/>
      <c r="J67" s="288" t="e">
        <f>ROUND(J$64*$D$67/100,0)</f>
        <v>#VALUE!</v>
      </c>
      <c r="K67" s="279"/>
      <c r="L67" s="288" t="e">
        <f>ROUND(L$64*$D$67/100,0)</f>
        <v>#REF!</v>
      </c>
      <c r="M67" s="108"/>
    </row>
    <row r="68" spans="1:13" ht="12.75" thickBot="1">
      <c r="A68" s="87"/>
      <c r="B68" s="280" t="s">
        <v>324</v>
      </c>
      <c r="C68" s="281"/>
      <c r="D68" s="282"/>
      <c r="E68" s="282"/>
      <c r="F68" s="283">
        <f>SUM(F65:F67)</f>
        <v>0</v>
      </c>
      <c r="G68" s="284"/>
      <c r="H68" s="283" t="e">
        <f>SUM(H65:H67)</f>
        <v>#VALUE!</v>
      </c>
      <c r="I68" s="284"/>
      <c r="J68" s="283" t="e">
        <f>SUM(J65:J67)</f>
        <v>#VALUE!</v>
      </c>
      <c r="K68" s="284"/>
      <c r="L68" s="283" t="e">
        <f>SUM(L65:L67)</f>
        <v>#REF!</v>
      </c>
      <c r="M68" s="108"/>
    </row>
    <row r="69" spans="1:13" ht="19.149999999999999" customHeight="1" thickBot="1">
      <c r="A69" s="87"/>
      <c r="B69" s="1150"/>
      <c r="C69" s="1150"/>
      <c r="D69" s="293"/>
      <c r="E69" s="293"/>
      <c r="F69" s="293"/>
      <c r="G69" s="279"/>
      <c r="H69" s="293"/>
      <c r="I69" s="279"/>
      <c r="J69" s="293"/>
      <c r="K69" s="279"/>
      <c r="L69" s="293"/>
      <c r="M69" s="108"/>
    </row>
    <row r="70" spans="1:13" ht="12.75" thickBot="1">
      <c r="A70" s="87"/>
      <c r="B70" s="280" t="s">
        <v>325</v>
      </c>
      <c r="C70" s="281"/>
      <c r="D70" s="282"/>
      <c r="E70" s="282"/>
      <c r="F70" s="283">
        <f>F64+F68</f>
        <v>0</v>
      </c>
      <c r="G70" s="284"/>
      <c r="H70" s="283" t="e">
        <f>H64+H68</f>
        <v>#VALUE!</v>
      </c>
      <c r="I70" s="284"/>
      <c r="J70" s="283" t="e">
        <f>J64+J68</f>
        <v>#VALUE!</v>
      </c>
      <c r="K70" s="284"/>
      <c r="L70" s="283" t="e">
        <f>L64+L68</f>
        <v>#REF!</v>
      </c>
      <c r="M70" s="108"/>
    </row>
    <row r="71" spans="1:13">
      <c r="A71" s="87" t="str">
        <f>IF(LOOKUP(M71,PPTO!$J$8:$J$269,PPTO!A$8:A$269)=0," ",LOOKUP(M71,PPTO!$J$8:$J$269,PPTO!A$8:A$269))</f>
        <v xml:space="preserve"> </v>
      </c>
      <c r="B71" s="88" t="str">
        <f>IF(LOOKUP(M71,PPTO!$J$8:J$269,PPTO!B$8:B$269)=0," ",LOOKUP(M71,PPTO!$J$8:J$269,PPTO!B$8:B$269))</f>
        <v xml:space="preserve"> </v>
      </c>
      <c r="C71" s="89" t="str">
        <f>IF(LOOKUP(M71,PPTO!$J$8:$J$269,PPTO!D$8:D$269)=0," ",LOOKUP(M71,PPTO!$J$8:$J$269,PPTO!D$8:D$269))</f>
        <v xml:space="preserve"> </v>
      </c>
      <c r="D71" s="90" t="str">
        <f>IF(LOOKUP(M71,PPTO!$J$8:$J$269,PPTO!E$8:E$269)=0," ",LOOKUP(M71,PPTO!$J$8:$J$269,PPTO!E$8:E$269))</f>
        <v xml:space="preserve"> </v>
      </c>
      <c r="E71" s="90" t="str">
        <f>IF(LOOKUP(M71,PPTO!$J$8:$J$269,PPTO!F$8:F$269)=0," ",LOOKUP(M71,PPTO!$J$8:$J$269,PPTO!F$8:F$269))</f>
        <v xml:space="preserve"> </v>
      </c>
      <c r="F71" s="97" t="str">
        <f>IF(LOOKUP(M71,PPTO!$J$8:$J$269,PPTO!H$8:H$269)=0," ",LOOKUP(M71,PPTO!$J$8:$J$269,PPTO!H$8:H$269))</f>
        <v xml:space="preserve"> </v>
      </c>
      <c r="G71" s="102"/>
      <c r="H71" s="102"/>
      <c r="I71" s="102"/>
      <c r="J71" s="102"/>
      <c r="K71" s="102"/>
      <c r="L71" s="102"/>
      <c r="M71" s="108">
        <v>45</v>
      </c>
    </row>
    <row r="72" spans="1:13">
      <c r="A72" s="92">
        <f>IF(LOOKUP(M72,PPTO!$J$8:$J$269,PPTO!A$8:A$269)=0," ",LOOKUP(M72,PPTO!$J$8:$J$269,PPTO!A$8:A$269))</f>
        <v>7</v>
      </c>
      <c r="B72" s="88" t="str">
        <f>IF(LOOKUP(M72,PPTO!$J$8:J$269,PPTO!B$8:B$269)=0," ",LOOKUP(M72,PPTO!$J$8:J$269,PPTO!B$8:B$269))</f>
        <v>SUMINISTRO DE TUBERIA</v>
      </c>
      <c r="C72" s="145" t="str">
        <f>IF(LOOKUP(M72,PPTO!$J$8:$J$269,PPTO!D$8:D$269)=0," ",LOOKUP(M72,PPTO!$J$8:$J$269,PPTO!D$8:D$269))</f>
        <v xml:space="preserve"> </v>
      </c>
      <c r="D72" s="144" t="str">
        <f>IF(LOOKUP(M72,PPTO!$J$8:$J$269,PPTO!E$8:E$269)=0," ",LOOKUP(M72,PPTO!$J$8:$J$269,PPTO!E$8:E$269))</f>
        <v xml:space="preserve"> </v>
      </c>
      <c r="E72" s="90" t="str">
        <f>IF(LOOKUP(M72,PPTO!$J$8:$J$269,PPTO!F$8:F$269)=0," ",LOOKUP(M72,PPTO!$J$8:$J$269,PPTO!F$8:F$269))</f>
        <v xml:space="preserve"> </v>
      </c>
      <c r="F72" s="90" t="str">
        <f>IF(LOOKUP(M72,PPTO!$J$8:$J$269,PPTO!H$8:H$269)=0," ",LOOKUP(M72,PPTO!$J$8:$J$269,PPTO!H$8:H$269))</f>
        <v xml:space="preserve"> </v>
      </c>
      <c r="G72" s="178"/>
      <c r="H72" s="102"/>
      <c r="I72" s="174"/>
      <c r="J72" s="102"/>
      <c r="K72" s="102"/>
      <c r="L72" s="102"/>
      <c r="M72" s="108">
        <f t="shared" ref="M72:M77" si="4">M71+1</f>
        <v>46</v>
      </c>
    </row>
    <row r="73" spans="1:13" ht="24">
      <c r="A73" s="87" t="str">
        <f>IF(LOOKUP(M73,PPTO!$J$8:$J$269,PPTO!A$8:A$269)=0," ",LOOKUP(M73,PPTO!$J$8:$J$269,PPTO!A$8:A$269))</f>
        <v>7.01</v>
      </c>
      <c r="B73" s="91" t="str">
        <f>IF(LOOKUP(M73,PPTO!$J$8:J$269,PPTO!B$8:B$269)=0," ",LOOKUP(M73,PPTO!$J$8:J$269,PPTO!B$8:B$269))</f>
        <v>SUM DE TUBERIA PVC UNION MECANICA PARA ALCANTARILLADOS 6", 160 MM</v>
      </c>
      <c r="C73" s="145" t="str">
        <f>IF(LOOKUP(M73,PPTO!$J$8:$J$269,PPTO!D$8:D$269)=0," ",LOOKUP(M73,PPTO!$J$8:$J$269,PPTO!D$8:D$269))</f>
        <v>ML</v>
      </c>
      <c r="D73" s="90" t="str">
        <f>IF(LOOKUP(M73,PPTO!$J$8:$J$269,PPTO!E$8:E$269)=0," ",LOOKUP(M73,PPTO!$J$8:$J$269,PPTO!E$8:E$269))</f>
        <v xml:space="preserve"> </v>
      </c>
      <c r="E73" s="90" t="str">
        <f>IF(LOOKUP(M73,PPTO!$J$8:$J$269,PPTO!F$8:F$269)=0," ",LOOKUP(M73,PPTO!$J$8:$J$269,PPTO!F$8:F$269))</f>
        <v xml:space="preserve"> </v>
      </c>
      <c r="F73" s="90" t="str">
        <f>IF(LOOKUP(M73,PPTO!$J$8:$J$269,PPTO!H$8:H$269)=0," ",LOOKUP(M73,PPTO!$J$8:$J$269,PPTO!H$8:H$269))</f>
        <v xml:space="preserve"> </v>
      </c>
      <c r="G73" s="178">
        <v>7554</v>
      </c>
      <c r="H73" s="102" t="e">
        <f t="shared" ref="H73:H77" si="5">ROUND(G73*E73,0)</f>
        <v>#VALUE!</v>
      </c>
      <c r="I73" s="174">
        <v>0</v>
      </c>
      <c r="J73" s="102" t="e">
        <f t="shared" ref="J73:J77" si="6">ROUND(I73*E73,0)</f>
        <v>#VALUE!</v>
      </c>
      <c r="K73" s="102" t="e">
        <f>I73+'ACTA PARCIAL No.5'!K73</f>
        <v>#REF!</v>
      </c>
      <c r="L73" s="102" t="e">
        <f t="shared" ref="L73:L77" si="7">ROUND(K73*E73,0)</f>
        <v>#REF!</v>
      </c>
      <c r="M73" s="108">
        <f t="shared" si="4"/>
        <v>47</v>
      </c>
    </row>
    <row r="74" spans="1:13">
      <c r="A74" s="87" t="str">
        <f>IF(LOOKUP(M74,PPTO!$J$8:$J$269,PPTO!A$8:A$269)=0," ",LOOKUP(M74,PPTO!$J$8:$J$269,PPTO!A$8:A$269))</f>
        <v>7.02</v>
      </c>
      <c r="B74" s="91" t="str">
        <f>IF(LOOKUP(M74,PPTO!$J$8:J$269,PPTO!B$8:B$269)=0," ",LOOKUP(M74,PPTO!$J$8:J$269,PPTO!B$8:B$269))</f>
        <v>SUM TUB PVC 8" ALC</v>
      </c>
      <c r="C74" s="145" t="str">
        <f>IF(LOOKUP(M74,PPTO!$J$8:$J$269,PPTO!D$8:D$269)=0," ",LOOKUP(M74,PPTO!$J$8:$J$269,PPTO!D$8:D$269))</f>
        <v>ML</v>
      </c>
      <c r="D74" s="90" t="str">
        <f>IF(LOOKUP(M74,PPTO!$J$8:$J$269,PPTO!E$8:E$269)=0," ",LOOKUP(M74,PPTO!$J$8:$J$269,PPTO!E$8:E$269))</f>
        <v xml:space="preserve"> </v>
      </c>
      <c r="E74" s="90" t="str">
        <f>IF(LOOKUP(M74,PPTO!$J$8:$J$269,PPTO!F$8:F$269)=0," ",LOOKUP(M74,PPTO!$J$8:$J$269,PPTO!F$8:F$269))</f>
        <v xml:space="preserve"> </v>
      </c>
      <c r="F74" s="90" t="str">
        <f>IF(LOOKUP(M74,PPTO!$J$8:$J$269,PPTO!H$8:H$269)=0," ",LOOKUP(M74,PPTO!$J$8:$J$269,PPTO!H$8:H$269))</f>
        <v xml:space="preserve"> </v>
      </c>
      <c r="G74" s="178">
        <v>10629.07</v>
      </c>
      <c r="H74" s="102" t="e">
        <f t="shared" si="5"/>
        <v>#VALUE!</v>
      </c>
      <c r="I74" s="174">
        <v>0</v>
      </c>
      <c r="J74" s="102" t="e">
        <f t="shared" si="6"/>
        <v>#VALUE!</v>
      </c>
      <c r="K74" s="102" t="e">
        <f>I74+'ACTA PARCIAL No.5'!K74</f>
        <v>#REF!</v>
      </c>
      <c r="L74" s="102" t="e">
        <f t="shared" si="7"/>
        <v>#REF!</v>
      </c>
      <c r="M74" s="108">
        <f t="shared" si="4"/>
        <v>48</v>
      </c>
    </row>
    <row r="75" spans="1:13">
      <c r="A75" s="87" t="str">
        <f>IF(LOOKUP(M75,PPTO!$J$8:$J$269,PPTO!A$8:A$269)=0," ",LOOKUP(M75,PPTO!$J$8:$J$269,PPTO!A$8:A$269))</f>
        <v>7.03</v>
      </c>
      <c r="B75" s="91" t="str">
        <f>IF(LOOKUP(M75,PPTO!$J$8:J$269,PPTO!B$8:B$269)=0," ",LOOKUP(M75,PPTO!$J$8:J$269,PPTO!B$8:B$269))</f>
        <v>SUM TUB PVC 10" ALC</v>
      </c>
      <c r="C75" s="89" t="str">
        <f>IF(LOOKUP(M75,PPTO!$J$8:$J$269,PPTO!D$8:D$269)=0," ",LOOKUP(M75,PPTO!$J$8:$J$269,PPTO!D$8:D$269))</f>
        <v>ML</v>
      </c>
      <c r="D75" s="90" t="str">
        <f>IF(LOOKUP(M75,PPTO!$J$8:$J$269,PPTO!E$8:E$269)=0," ",LOOKUP(M75,PPTO!$J$8:$J$269,PPTO!E$8:E$269))</f>
        <v xml:space="preserve"> </v>
      </c>
      <c r="E75" s="90" t="str">
        <f>IF(LOOKUP(M75,PPTO!$J$8:$J$269,PPTO!F$8:F$269)=0," ",LOOKUP(M75,PPTO!$J$8:$J$269,PPTO!F$8:F$269))</f>
        <v xml:space="preserve"> </v>
      </c>
      <c r="F75" s="90" t="str">
        <f>IF(LOOKUP(M75,PPTO!$J$8:$J$269,PPTO!H$8:H$269)=0," ",LOOKUP(M75,PPTO!$J$8:$J$269,PPTO!H$8:H$269))</f>
        <v xml:space="preserve"> </v>
      </c>
      <c r="G75" s="178">
        <v>119.02</v>
      </c>
      <c r="H75" s="102" t="e">
        <f t="shared" si="5"/>
        <v>#VALUE!</v>
      </c>
      <c r="I75" s="174">
        <v>0</v>
      </c>
      <c r="J75" s="102" t="e">
        <f t="shared" si="6"/>
        <v>#VALUE!</v>
      </c>
      <c r="K75" s="102" t="e">
        <f>I75+'ACTA PARCIAL No.5'!K75</f>
        <v>#REF!</v>
      </c>
      <c r="L75" s="102" t="e">
        <f t="shared" si="7"/>
        <v>#REF!</v>
      </c>
      <c r="M75" s="108">
        <f t="shared" si="4"/>
        <v>49</v>
      </c>
    </row>
    <row r="76" spans="1:13">
      <c r="A76" s="87" t="str">
        <f>IF(LOOKUP(M76,PPTO!$J$8:$J$269,PPTO!A$8:A$269)=0," ",LOOKUP(M76,PPTO!$J$8:$J$269,PPTO!A$8:A$269))</f>
        <v>7.04</v>
      </c>
      <c r="B76" s="91" t="str">
        <f>IF(LOOKUP(M76,PPTO!$J$8:J$269,PPTO!B$8:B$269)=0," ",LOOKUP(M76,PPTO!$J$8:J$269,PPTO!B$8:B$269))</f>
        <v>SUM TUB PVC 12" ALC</v>
      </c>
      <c r="C76" s="89" t="str">
        <f>IF(LOOKUP(M76,PPTO!$J$8:$J$269,PPTO!D$8:D$269)=0," ",LOOKUP(M76,PPTO!$J$8:$J$269,PPTO!D$8:D$269))</f>
        <v>ML</v>
      </c>
      <c r="D76" s="90" t="str">
        <f>IF(LOOKUP(M76,PPTO!$J$8:$J$269,PPTO!E$8:E$269)=0," ",LOOKUP(M76,PPTO!$J$8:$J$269,PPTO!E$8:E$269))</f>
        <v xml:space="preserve"> </v>
      </c>
      <c r="E76" s="90" t="str">
        <f>IF(LOOKUP(M76,PPTO!$J$8:$J$269,PPTO!F$8:F$269)=0," ",LOOKUP(M76,PPTO!$J$8:$J$269,PPTO!F$8:F$269))</f>
        <v xml:space="preserve"> </v>
      </c>
      <c r="F76" s="90" t="str">
        <f>IF(LOOKUP(M76,PPTO!$J$8:$J$269,PPTO!H$8:H$269)=0," ",LOOKUP(M76,PPTO!$J$8:$J$269,PPTO!H$8:H$269))</f>
        <v xml:space="preserve"> </v>
      </c>
      <c r="G76" s="178">
        <v>293.73</v>
      </c>
      <c r="H76" s="102" t="e">
        <f t="shared" si="5"/>
        <v>#VALUE!</v>
      </c>
      <c r="I76" s="174">
        <v>0</v>
      </c>
      <c r="J76" s="102" t="e">
        <f t="shared" si="6"/>
        <v>#VALUE!</v>
      </c>
      <c r="K76" s="102" t="e">
        <f>I76+'ACTA PARCIAL No.5'!K76</f>
        <v>#REF!</v>
      </c>
      <c r="L76" s="102" t="e">
        <f t="shared" si="7"/>
        <v>#REF!</v>
      </c>
      <c r="M76" s="108">
        <f t="shared" si="4"/>
        <v>50</v>
      </c>
    </row>
    <row r="77" spans="1:13">
      <c r="A77" s="87" t="str">
        <f>IF(LOOKUP(M77,PPTO!$J$8:$J$269,PPTO!A$8:A$269)=0," ",LOOKUP(M77,PPTO!$J$8:$J$269,PPTO!A$8:A$269))</f>
        <v>7.05</v>
      </c>
      <c r="B77" s="91" t="str">
        <f>IF(LOOKUP(M77,PPTO!$J$8:J$269,PPTO!B$8:B$269)=0," ",LOOKUP(M77,PPTO!$J$8:J$269,PPTO!B$8:B$269))</f>
        <v>SUMINISTRO TUB PVC NOVAFORT 14 "</v>
      </c>
      <c r="C77" s="89" t="str">
        <f>IF(LOOKUP(M77,PPTO!$J$8:$J$269,PPTO!D$8:D$269)=0," ",LOOKUP(M77,PPTO!$J$8:$J$269,PPTO!D$8:D$269))</f>
        <v>ML</v>
      </c>
      <c r="D77" s="90" t="str">
        <f>IF(LOOKUP(M77,PPTO!$J$8:$J$269,PPTO!E$8:E$269)=0," ",LOOKUP(M77,PPTO!$J$8:$J$269,PPTO!E$8:E$269))</f>
        <v xml:space="preserve"> </v>
      </c>
      <c r="E77" s="90" t="str">
        <f>IF(LOOKUP(M77,PPTO!$J$8:$J$269,PPTO!F$8:F$269)=0," ",LOOKUP(M77,PPTO!$J$8:$J$269,PPTO!F$8:F$269))</f>
        <v xml:space="preserve"> </v>
      </c>
      <c r="F77" s="90" t="str">
        <f>IF(LOOKUP(M77,PPTO!$J$8:$J$269,PPTO!H$8:H$269)=0," ",LOOKUP(M77,PPTO!$J$8:$J$269,PPTO!H$8:H$269))</f>
        <v xml:space="preserve"> </v>
      </c>
      <c r="G77" s="178">
        <v>915</v>
      </c>
      <c r="H77" s="102" t="e">
        <f t="shared" si="5"/>
        <v>#VALUE!</v>
      </c>
      <c r="I77" s="174">
        <v>0</v>
      </c>
      <c r="J77" s="102" t="e">
        <f t="shared" si="6"/>
        <v>#VALUE!</v>
      </c>
      <c r="K77" s="102" t="e">
        <f>I77+'ACTA PARCIAL No.5'!K77</f>
        <v>#REF!</v>
      </c>
      <c r="L77" s="102" t="e">
        <f t="shared" si="7"/>
        <v>#REF!</v>
      </c>
      <c r="M77" s="108">
        <f t="shared" si="4"/>
        <v>51</v>
      </c>
    </row>
    <row r="78" spans="1:13">
      <c r="A78" s="87"/>
      <c r="B78" s="88"/>
      <c r="C78" s="89"/>
      <c r="D78" s="90"/>
      <c r="E78" s="90"/>
      <c r="F78" s="97"/>
      <c r="G78" s="179"/>
      <c r="H78" s="177"/>
      <c r="I78" s="174"/>
      <c r="J78" s="148"/>
      <c r="K78" s="102"/>
      <c r="L78" s="148"/>
      <c r="M78" s="108"/>
    </row>
    <row r="79" spans="1:13">
      <c r="A79" s="87"/>
      <c r="B79" s="275" t="s">
        <v>348</v>
      </c>
      <c r="C79" s="276"/>
      <c r="D79" s="277"/>
      <c r="E79" s="277"/>
      <c r="F79" s="277">
        <v>0</v>
      </c>
      <c r="G79" s="278"/>
      <c r="H79" s="278">
        <v>0</v>
      </c>
      <c r="I79" s="279"/>
      <c r="J79" s="279">
        <v>0</v>
      </c>
      <c r="K79" s="279"/>
      <c r="L79" s="279">
        <v>0</v>
      </c>
      <c r="M79" s="108"/>
    </row>
    <row r="80" spans="1:13" ht="12.75" thickBot="1">
      <c r="A80" s="87"/>
      <c r="B80" s="91"/>
      <c r="C80" s="89"/>
      <c r="D80" s="90"/>
      <c r="E80" s="90"/>
      <c r="F80" s="90"/>
      <c r="G80" s="161"/>
      <c r="H80" s="161"/>
      <c r="I80" s="102"/>
      <c r="J80" s="102"/>
      <c r="K80" s="102"/>
      <c r="L80" s="102"/>
      <c r="M80" s="108"/>
    </row>
    <row r="81" spans="1:13" ht="12.75" thickBot="1">
      <c r="A81" s="92"/>
      <c r="B81" s="280" t="s">
        <v>326</v>
      </c>
      <c r="C81" s="281"/>
      <c r="D81" s="282"/>
      <c r="E81" s="282"/>
      <c r="F81" s="283">
        <f>SUM(F73:F80)</f>
        <v>0</v>
      </c>
      <c r="G81" s="284"/>
      <c r="H81" s="283" t="e">
        <f>SUM(H73:H80)</f>
        <v>#VALUE!</v>
      </c>
      <c r="I81" s="284"/>
      <c r="J81" s="283" t="e">
        <f>SUM(J73:J80)</f>
        <v>#VALUE!</v>
      </c>
      <c r="K81" s="284"/>
      <c r="L81" s="283" t="e">
        <f>SUM(L73:L80)</f>
        <v>#REF!</v>
      </c>
      <c r="M81" s="108"/>
    </row>
    <row r="82" spans="1:13" ht="12.75" thickBot="1">
      <c r="A82" s="87"/>
      <c r="B82" s="285" t="s">
        <v>174</v>
      </c>
      <c r="C82" s="286" t="s">
        <v>296</v>
      </c>
      <c r="D82" s="287">
        <f>DATOS!E192</f>
        <v>18.5</v>
      </c>
      <c r="E82" s="288"/>
      <c r="F82" s="288">
        <f>ROUND(F$81*$D$82/100,0)</f>
        <v>0</v>
      </c>
      <c r="G82" s="289"/>
      <c r="H82" s="288" t="e">
        <f>ROUND(H$81*$D$82/100,0)</f>
        <v>#VALUE!</v>
      </c>
      <c r="I82" s="289"/>
      <c r="J82" s="288" t="e">
        <f>ROUND(J$81*$D$82/100,0)</f>
        <v>#VALUE!</v>
      </c>
      <c r="K82" s="289"/>
      <c r="L82" s="288" t="e">
        <f>ROUND(L$81*$D$82/100,0)</f>
        <v>#REF!</v>
      </c>
      <c r="M82" s="108"/>
    </row>
    <row r="83" spans="1:13" ht="12.75" thickBot="1">
      <c r="A83" s="87"/>
      <c r="B83" s="280" t="s">
        <v>327</v>
      </c>
      <c r="C83" s="281"/>
      <c r="D83" s="282"/>
      <c r="E83" s="282"/>
      <c r="F83" s="283">
        <f>F82</f>
        <v>0</v>
      </c>
      <c r="G83" s="284"/>
      <c r="H83" s="283" t="e">
        <f>H82</f>
        <v>#VALUE!</v>
      </c>
      <c r="I83" s="284"/>
      <c r="J83" s="283" t="e">
        <f>J82</f>
        <v>#VALUE!</v>
      </c>
      <c r="K83" s="284"/>
      <c r="L83" s="283" t="e">
        <f>L82</f>
        <v>#REF!</v>
      </c>
      <c r="M83" s="108"/>
    </row>
    <row r="84" spans="1:13" ht="12.75" thickBot="1">
      <c r="A84" s="87"/>
      <c r="B84" s="1150"/>
      <c r="C84" s="1150"/>
      <c r="D84" s="293"/>
      <c r="E84" s="293"/>
      <c r="F84" s="293"/>
      <c r="G84" s="279"/>
      <c r="H84" s="293"/>
      <c r="I84" s="279"/>
      <c r="J84" s="293"/>
      <c r="K84" s="279"/>
      <c r="L84" s="293"/>
      <c r="M84" s="108"/>
    </row>
    <row r="85" spans="1:13" ht="12.75" thickBot="1">
      <c r="A85" s="87"/>
      <c r="B85" s="280" t="s">
        <v>328</v>
      </c>
      <c r="C85" s="281"/>
      <c r="D85" s="282"/>
      <c r="E85" s="282"/>
      <c r="F85" s="283">
        <f>F81+F83</f>
        <v>0</v>
      </c>
      <c r="G85" s="284"/>
      <c r="H85" s="283" t="e">
        <f>H81+H83</f>
        <v>#VALUE!</v>
      </c>
      <c r="I85" s="284"/>
      <c r="J85" s="283" t="e">
        <f>J81+J83</f>
        <v>#VALUE!</v>
      </c>
      <c r="K85" s="284"/>
      <c r="L85" s="283" t="e">
        <f>L81+L83</f>
        <v>#REF!</v>
      </c>
      <c r="M85" s="108"/>
    </row>
    <row r="86" spans="1:13" ht="25.15" customHeight="1" thickBot="1">
      <c r="A86" s="87"/>
      <c r="B86" s="1151"/>
      <c r="C86" s="1151"/>
      <c r="D86" s="293"/>
      <c r="E86" s="293"/>
      <c r="F86" s="293"/>
      <c r="G86" s="279"/>
      <c r="H86" s="293"/>
      <c r="I86" s="279"/>
      <c r="J86" s="293"/>
      <c r="K86" s="279"/>
      <c r="L86" s="293"/>
      <c r="M86" s="108"/>
    </row>
    <row r="87" spans="1:13" ht="12.75" thickBot="1">
      <c r="A87" s="87"/>
      <c r="B87" s="280" t="s">
        <v>325</v>
      </c>
      <c r="C87" s="281"/>
      <c r="D87" s="282"/>
      <c r="E87" s="282"/>
      <c r="F87" s="283">
        <f>F70</f>
        <v>0</v>
      </c>
      <c r="G87" s="284"/>
      <c r="H87" s="283" t="e">
        <f>H70</f>
        <v>#VALUE!</v>
      </c>
      <c r="I87" s="284"/>
      <c r="J87" s="283" t="e">
        <f>J70</f>
        <v>#VALUE!</v>
      </c>
      <c r="K87" s="284"/>
      <c r="L87" s="283" t="e">
        <f>L70</f>
        <v>#REF!</v>
      </c>
      <c r="M87" s="108"/>
    </row>
    <row r="88" spans="1:13" ht="5.45" customHeight="1" thickBot="1">
      <c r="A88" s="87"/>
      <c r="B88" s="1151"/>
      <c r="C88" s="1151"/>
      <c r="D88" s="293"/>
      <c r="E88" s="293"/>
      <c r="F88" s="293"/>
      <c r="G88" s="279"/>
      <c r="H88" s="293"/>
      <c r="I88" s="279"/>
      <c r="J88" s="293"/>
      <c r="K88" s="279"/>
      <c r="L88" s="293"/>
      <c r="M88" s="108"/>
    </row>
    <row r="89" spans="1:13" ht="12.75" thickBot="1">
      <c r="A89" s="87"/>
      <c r="B89" s="280" t="s">
        <v>328</v>
      </c>
      <c r="C89" s="281"/>
      <c r="D89" s="282"/>
      <c r="E89" s="282"/>
      <c r="F89" s="283">
        <f>F85</f>
        <v>0</v>
      </c>
      <c r="G89" s="284"/>
      <c r="H89" s="283" t="e">
        <f>H85</f>
        <v>#VALUE!</v>
      </c>
      <c r="I89" s="284"/>
      <c r="J89" s="283" t="e">
        <f>J85</f>
        <v>#VALUE!</v>
      </c>
      <c r="K89" s="284"/>
      <c r="L89" s="283" t="e">
        <f>L85</f>
        <v>#REF!</v>
      </c>
      <c r="M89" s="108"/>
    </row>
    <row r="90" spans="1:13" ht="12.75" thickBot="1">
      <c r="A90" s="87"/>
      <c r="B90" s="976"/>
      <c r="C90" s="976"/>
      <c r="D90" s="144"/>
      <c r="E90" s="90"/>
      <c r="F90" s="90"/>
      <c r="G90" s="161"/>
      <c r="H90" s="156"/>
      <c r="I90" s="161"/>
      <c r="J90" s="156"/>
      <c r="K90" s="161"/>
      <c r="L90" s="156"/>
      <c r="M90" s="108"/>
    </row>
    <row r="91" spans="1:13" ht="15" customHeight="1" thickBot="1">
      <c r="A91" s="87"/>
      <c r="B91" s="157" t="s">
        <v>117</v>
      </c>
      <c r="C91" s="158"/>
      <c r="D91" s="159"/>
      <c r="E91" s="159"/>
      <c r="F91" s="160">
        <f>F87+F89</f>
        <v>0</v>
      </c>
      <c r="G91" s="163"/>
      <c r="H91" s="164" t="e">
        <f>H87+H89</f>
        <v>#VALUE!</v>
      </c>
      <c r="I91" s="165"/>
      <c r="J91" s="166" t="e">
        <f>J87+J89</f>
        <v>#VALUE!</v>
      </c>
      <c r="K91" s="167"/>
      <c r="L91" s="168" t="e">
        <f>L87+L89</f>
        <v>#REF!</v>
      </c>
      <c r="M91" s="108"/>
    </row>
    <row r="92" spans="1:13">
      <c r="A92" s="87"/>
      <c r="B92" s="88"/>
      <c r="C92" s="89"/>
      <c r="D92" s="90"/>
      <c r="E92" s="90"/>
      <c r="F92" s="90"/>
      <c r="G92" s="162"/>
      <c r="H92" s="162"/>
      <c r="I92" s="102"/>
      <c r="K92" s="102"/>
      <c r="L92" s="102"/>
      <c r="M92" s="108"/>
    </row>
    <row r="93" spans="1:13">
      <c r="A93" s="87"/>
      <c r="B93" s="88"/>
      <c r="C93" s="89"/>
      <c r="D93" s="90"/>
      <c r="E93" s="90"/>
      <c r="F93" s="90"/>
      <c r="G93" s="102"/>
      <c r="H93" s="102"/>
      <c r="I93" s="102"/>
      <c r="J93" s="102"/>
      <c r="K93" s="102"/>
      <c r="L93" s="102"/>
      <c r="M93" s="108"/>
    </row>
    <row r="94" spans="1:13">
      <c r="A94" s="84"/>
      <c r="B94" s="93"/>
      <c r="C94" s="84"/>
      <c r="D94" s="86"/>
      <c r="E94" s="86"/>
      <c r="F94" s="86"/>
      <c r="G94" s="85"/>
      <c r="H94" s="85"/>
      <c r="I94" s="85"/>
      <c r="J94" s="85"/>
      <c r="K94" s="85"/>
      <c r="L94" s="85"/>
      <c r="M94" s="108"/>
    </row>
    <row r="95" spans="1:13">
      <c r="B95" s="111" t="s">
        <v>251</v>
      </c>
      <c r="C95" s="84"/>
      <c r="D95" s="86"/>
      <c r="E95" s="86"/>
      <c r="F95" s="86"/>
      <c r="G95" s="85"/>
      <c r="H95" s="111" t="s">
        <v>263</v>
      </c>
      <c r="I95" s="85"/>
      <c r="J95" s="85"/>
      <c r="K95" s="85"/>
      <c r="L95" s="85"/>
      <c r="M95" s="108"/>
    </row>
    <row r="96" spans="1:13">
      <c r="A96" s="84"/>
      <c r="B96" s="113" t="s">
        <v>252</v>
      </c>
      <c r="C96" s="121"/>
      <c r="D96" s="123" t="s">
        <v>259</v>
      </c>
      <c r="E96" s="112"/>
      <c r="F96" s="112">
        <f>F7</f>
        <v>0</v>
      </c>
      <c r="G96" s="85"/>
      <c r="H96" s="117" t="s">
        <v>13</v>
      </c>
      <c r="I96" s="118"/>
      <c r="J96" s="120" t="s">
        <v>259</v>
      </c>
      <c r="K96" s="112"/>
      <c r="L96" s="112">
        <f>DATOS!E48</f>
        <v>0</v>
      </c>
      <c r="M96" s="108"/>
    </row>
    <row r="97" spans="1:13">
      <c r="A97" s="84"/>
      <c r="B97" s="113" t="s">
        <v>257</v>
      </c>
      <c r="C97" s="121"/>
      <c r="D97" s="123" t="s">
        <v>259</v>
      </c>
      <c r="E97" s="112"/>
      <c r="F97" s="112">
        <f>F8</f>
        <v>30000000</v>
      </c>
      <c r="G97" s="85"/>
      <c r="H97" s="117" t="s">
        <v>260</v>
      </c>
      <c r="I97" s="118"/>
      <c r="J97" s="120" t="s">
        <v>259</v>
      </c>
      <c r="K97" s="112"/>
      <c r="L97" s="112">
        <v>0</v>
      </c>
      <c r="M97" s="108"/>
    </row>
    <row r="98" spans="1:13">
      <c r="A98" s="84"/>
      <c r="B98" s="113" t="s">
        <v>258</v>
      </c>
      <c r="C98" s="121"/>
      <c r="D98" s="123" t="s">
        <v>259</v>
      </c>
      <c r="E98" s="112"/>
      <c r="F98" s="112">
        <f>F9</f>
        <v>0</v>
      </c>
      <c r="G98" s="85"/>
      <c r="H98" s="117" t="s">
        <v>261</v>
      </c>
      <c r="I98" s="118"/>
      <c r="J98" s="120" t="s">
        <v>259</v>
      </c>
      <c r="K98" s="112"/>
      <c r="L98" s="112">
        <v>0</v>
      </c>
      <c r="M98" s="108"/>
    </row>
    <row r="99" spans="1:13">
      <c r="A99" s="84"/>
      <c r="B99" s="113" t="s">
        <v>253</v>
      </c>
      <c r="C99" s="121"/>
      <c r="D99" s="123" t="s">
        <v>259</v>
      </c>
      <c r="E99" s="112" t="e">
        <f>'ACTA PARCIAL No.1'!E99</f>
        <v>#VALUE!</v>
      </c>
      <c r="F99" s="112"/>
      <c r="G99" s="85"/>
      <c r="H99" s="117" t="s">
        <v>262</v>
      </c>
      <c r="I99" s="118"/>
      <c r="J99" s="120" t="s">
        <v>259</v>
      </c>
      <c r="K99" s="112" t="e">
        <f>ROUND(E99*DATOS!$I$48,0)</f>
        <v>#VALUE!</v>
      </c>
      <c r="L99" s="112"/>
      <c r="M99" s="108"/>
    </row>
    <row r="100" spans="1:13">
      <c r="A100" s="84"/>
      <c r="B100" s="113" t="s">
        <v>272</v>
      </c>
      <c r="C100" s="121"/>
      <c r="D100" s="123" t="s">
        <v>259</v>
      </c>
      <c r="E100" s="112" t="e">
        <f>#REF!</f>
        <v>#REF!</v>
      </c>
      <c r="F100" s="112"/>
      <c r="G100" s="85"/>
      <c r="H100" s="117" t="s">
        <v>273</v>
      </c>
      <c r="I100" s="118"/>
      <c r="J100" s="120" t="s">
        <v>259</v>
      </c>
      <c r="K100" s="112" t="e">
        <f>ROUND(E100*DATOS!$I$48,0)</f>
        <v>#REF!</v>
      </c>
      <c r="L100" s="112"/>
      <c r="M100" s="108"/>
    </row>
    <row r="101" spans="1:13">
      <c r="A101" s="84"/>
      <c r="B101" s="113" t="s">
        <v>297</v>
      </c>
      <c r="C101" s="121"/>
      <c r="D101" s="123" t="s">
        <v>259</v>
      </c>
      <c r="E101" s="112" t="e">
        <f>#REF!</f>
        <v>#REF!</v>
      </c>
      <c r="F101" s="112"/>
      <c r="G101" s="85"/>
      <c r="H101" s="117" t="s">
        <v>304</v>
      </c>
      <c r="I101" s="118"/>
      <c r="J101" s="120" t="s">
        <v>259</v>
      </c>
      <c r="K101" s="112" t="e">
        <f>ROUND(E101*DATOS!$I$48,0)</f>
        <v>#REF!</v>
      </c>
      <c r="L101" s="112"/>
      <c r="M101" s="108"/>
    </row>
    <row r="102" spans="1:13">
      <c r="A102" s="84"/>
      <c r="B102" s="113" t="s">
        <v>298</v>
      </c>
      <c r="C102" s="121"/>
      <c r="D102" s="123" t="s">
        <v>259</v>
      </c>
      <c r="E102" s="112" t="e">
        <f>'ACTA PARCIAL No.4'!E102</f>
        <v>#VALUE!</v>
      </c>
      <c r="F102" s="112"/>
      <c r="G102" s="85"/>
      <c r="H102" s="117" t="s">
        <v>305</v>
      </c>
      <c r="I102" s="118"/>
      <c r="J102" s="120" t="s">
        <v>259</v>
      </c>
      <c r="K102" s="112" t="e">
        <f>ROUND(E102*DATOS!$I$48,0)</f>
        <v>#VALUE!</v>
      </c>
      <c r="L102" s="112"/>
      <c r="M102" s="108"/>
    </row>
    <row r="103" spans="1:13">
      <c r="A103" s="84"/>
      <c r="B103" s="113" t="s">
        <v>299</v>
      </c>
      <c r="C103" s="121"/>
      <c r="D103" s="123" t="s">
        <v>259</v>
      </c>
      <c r="E103" s="112" t="e">
        <f>'ACTA PARCIAL No.5'!E103</f>
        <v>#VALUE!</v>
      </c>
      <c r="F103" s="112"/>
      <c r="G103" s="85"/>
      <c r="H103" s="117" t="s">
        <v>306</v>
      </c>
      <c r="I103" s="118"/>
      <c r="J103" s="120" t="s">
        <v>259</v>
      </c>
      <c r="K103" s="112" t="e">
        <f>ROUND(E103*DATOS!$I$48,0)</f>
        <v>#VALUE!</v>
      </c>
      <c r="L103" s="112"/>
      <c r="M103" s="108"/>
    </row>
    <row r="104" spans="1:13">
      <c r="A104" s="84"/>
      <c r="B104" s="113" t="s">
        <v>300</v>
      </c>
      <c r="C104" s="121"/>
      <c r="D104" s="123" t="s">
        <v>259</v>
      </c>
      <c r="E104" s="112" t="e">
        <f>J91</f>
        <v>#VALUE!</v>
      </c>
      <c r="F104" s="112"/>
      <c r="G104" s="85"/>
      <c r="H104" s="117" t="s">
        <v>307</v>
      </c>
      <c r="I104" s="118"/>
      <c r="J104" s="120" t="s">
        <v>259</v>
      </c>
      <c r="K104" s="112" t="e">
        <f>ROUND(E104*DATOS!$I$48,0)</f>
        <v>#VALUE!</v>
      </c>
      <c r="L104" s="112"/>
      <c r="M104" s="108"/>
    </row>
    <row r="105" spans="1:13">
      <c r="A105" s="84"/>
      <c r="B105" s="113" t="s">
        <v>254</v>
      </c>
      <c r="C105" s="121"/>
      <c r="D105" s="123" t="s">
        <v>259</v>
      </c>
      <c r="E105" s="112" t="e">
        <f>F96+F97+F98-E99-E100-E101-E102-E103-E104</f>
        <v>#VALUE!</v>
      </c>
      <c r="F105" s="112"/>
      <c r="G105" s="85"/>
      <c r="H105" s="117" t="s">
        <v>250</v>
      </c>
      <c r="I105" s="118"/>
      <c r="J105" s="120" t="s">
        <v>259</v>
      </c>
      <c r="K105" s="112" t="e">
        <f>L96+L97+L98-K99-K100-K101-K102-K103-K104</f>
        <v>#VALUE!</v>
      </c>
      <c r="L105" s="112"/>
      <c r="M105" s="108"/>
    </row>
    <row r="106" spans="1:13">
      <c r="A106" s="84"/>
      <c r="B106" s="114" t="s">
        <v>255</v>
      </c>
      <c r="C106" s="121"/>
      <c r="D106" s="123" t="s">
        <v>259</v>
      </c>
      <c r="E106" s="112" t="e">
        <f>SUM(E96:E105)</f>
        <v>#VALUE!</v>
      </c>
      <c r="F106" s="112">
        <f>SUM(F96:F105)</f>
        <v>30000000</v>
      </c>
      <c r="G106" s="85"/>
      <c r="H106" s="119" t="s">
        <v>255</v>
      </c>
      <c r="I106" s="118"/>
      <c r="J106" s="120" t="s">
        <v>259</v>
      </c>
      <c r="K106" s="112" t="e">
        <f>SUM(K96:K105)</f>
        <v>#VALUE!</v>
      </c>
      <c r="L106" s="112">
        <f>SUM(L96:L105)</f>
        <v>0</v>
      </c>
      <c r="M106" s="108"/>
    </row>
    <row r="107" spans="1:13">
      <c r="A107" s="84"/>
      <c r="B107" s="93"/>
      <c r="C107" s="84"/>
      <c r="D107" s="86"/>
      <c r="E107" s="86"/>
      <c r="F107" s="86"/>
      <c r="G107" s="85"/>
      <c r="I107" s="85"/>
      <c r="J107" s="85"/>
      <c r="K107" s="85"/>
      <c r="L107" s="85"/>
      <c r="M107" s="108"/>
    </row>
    <row r="108" spans="1:13">
      <c r="A108" s="84"/>
      <c r="B108" s="113" t="s">
        <v>311</v>
      </c>
      <c r="C108" s="121"/>
      <c r="D108" s="122"/>
      <c r="E108" s="123" t="s">
        <v>259</v>
      </c>
      <c r="F108" s="112">
        <f>F96+F97+F98</f>
        <v>30000000</v>
      </c>
      <c r="G108" s="85"/>
      <c r="H108" s="117" t="s">
        <v>265</v>
      </c>
      <c r="I108" s="118"/>
      <c r="J108" s="126"/>
      <c r="K108" s="120" t="s">
        <v>259</v>
      </c>
      <c r="L108" s="112" t="e">
        <f>E104</f>
        <v>#VALUE!</v>
      </c>
      <c r="M108" s="108"/>
    </row>
    <row r="109" spans="1:13">
      <c r="A109" s="84"/>
      <c r="B109" s="113" t="s">
        <v>264</v>
      </c>
      <c r="C109" s="121"/>
      <c r="D109" s="122"/>
      <c r="E109" s="123" t="s">
        <v>259</v>
      </c>
      <c r="F109" s="112" t="e">
        <f>E99+E100+E101+E102+E103+E104</f>
        <v>#VALUE!</v>
      </c>
      <c r="G109" s="85"/>
      <c r="H109" s="117" t="s">
        <v>266</v>
      </c>
      <c r="I109" s="118"/>
      <c r="J109" s="126"/>
      <c r="K109" s="120" t="s">
        <v>259</v>
      </c>
      <c r="L109" s="112" t="e">
        <f>K104</f>
        <v>#VALUE!</v>
      </c>
      <c r="M109" s="108"/>
    </row>
    <row r="110" spans="1:13">
      <c r="A110" s="84"/>
      <c r="B110" s="113" t="s">
        <v>274</v>
      </c>
      <c r="C110" s="121"/>
      <c r="D110" s="122"/>
      <c r="E110" s="123" t="s">
        <v>259</v>
      </c>
      <c r="F110" s="112" t="e">
        <f>K105</f>
        <v>#VALUE!</v>
      </c>
      <c r="G110" s="85"/>
      <c r="H110" s="85"/>
      <c r="I110" s="85"/>
      <c r="J110" s="125"/>
      <c r="K110" s="126"/>
      <c r="L110" s="122"/>
      <c r="M110" s="108"/>
    </row>
    <row r="111" spans="1:13">
      <c r="A111" s="84"/>
      <c r="B111" s="113" t="s">
        <v>254</v>
      </c>
      <c r="C111" s="121"/>
      <c r="D111" s="122"/>
      <c r="E111" s="123" t="s">
        <v>259</v>
      </c>
      <c r="F111" s="112" t="e">
        <f>E105</f>
        <v>#VALUE!</v>
      </c>
      <c r="G111" s="85"/>
      <c r="H111" s="119" t="s">
        <v>267</v>
      </c>
      <c r="I111" s="118"/>
      <c r="J111" s="126"/>
      <c r="K111" s="120" t="s">
        <v>259</v>
      </c>
      <c r="L111" s="116" t="e">
        <f>L108-L109</f>
        <v>#VALUE!</v>
      </c>
      <c r="M111" s="108"/>
    </row>
    <row r="112" spans="1:13">
      <c r="A112" s="84"/>
      <c r="B112" s="114" t="s">
        <v>256</v>
      </c>
      <c r="C112" s="121"/>
      <c r="D112" s="122"/>
      <c r="E112" s="123"/>
      <c r="F112" s="124" t="e">
        <f>F109/F108</f>
        <v>#VALUE!</v>
      </c>
      <c r="G112" s="85"/>
      <c r="H112" s="85"/>
      <c r="I112" s="85"/>
      <c r="J112" s="85"/>
      <c r="K112" s="85"/>
      <c r="L112" s="85"/>
      <c r="M112" s="108"/>
    </row>
    <row r="113" spans="1:13">
      <c r="A113" s="84"/>
      <c r="B113" s="93"/>
      <c r="C113" s="84"/>
      <c r="D113" s="86"/>
      <c r="E113" s="86"/>
      <c r="F113" s="86"/>
      <c r="G113" s="85"/>
      <c r="H113" s="85"/>
      <c r="I113" s="85"/>
      <c r="J113" s="85"/>
      <c r="K113" s="85"/>
      <c r="L113" s="85"/>
      <c r="M113" s="108"/>
    </row>
    <row r="114" spans="1:13" ht="12.75" thickBot="1">
      <c r="A114" s="84"/>
      <c r="B114" s="93"/>
      <c r="C114" s="84"/>
      <c r="D114" s="86"/>
      <c r="E114" s="86"/>
      <c r="F114" s="86"/>
      <c r="G114" s="85"/>
      <c r="H114" s="85"/>
      <c r="I114" s="85"/>
      <c r="J114" s="85"/>
      <c r="K114" s="85"/>
      <c r="L114" s="85"/>
      <c r="M114" s="108"/>
    </row>
    <row r="115" spans="1:13" ht="15" customHeight="1" thickBot="1">
      <c r="A115" s="84"/>
      <c r="B115" s="93" t="s">
        <v>268</v>
      </c>
      <c r="C115" s="1144"/>
      <c r="D115" s="1145"/>
      <c r="E115" s="1145"/>
      <c r="F115" s="1145"/>
      <c r="G115" s="1145"/>
      <c r="H115" s="1145"/>
      <c r="I115" s="1145"/>
      <c r="J115" s="1145"/>
      <c r="K115" s="1145"/>
      <c r="L115" s="1146"/>
      <c r="M115" s="108"/>
    </row>
    <row r="116" spans="1:13">
      <c r="A116" s="84"/>
      <c r="B116" s="93"/>
      <c r="C116" s="84"/>
      <c r="D116" s="86"/>
      <c r="E116" s="86"/>
      <c r="F116" s="86"/>
      <c r="G116" s="85"/>
      <c r="H116" s="85"/>
      <c r="I116" s="85"/>
      <c r="J116" s="85"/>
      <c r="K116" s="85"/>
      <c r="L116" s="85"/>
      <c r="M116" s="108"/>
    </row>
    <row r="117" spans="1:13">
      <c r="A117" s="84"/>
      <c r="B117" s="93"/>
      <c r="C117" s="84"/>
      <c r="D117" s="86"/>
      <c r="E117" s="86"/>
      <c r="F117" s="86"/>
      <c r="G117" s="85"/>
      <c r="H117" s="85"/>
      <c r="I117" s="85"/>
      <c r="J117" s="85"/>
      <c r="K117" s="85"/>
      <c r="L117" s="85"/>
      <c r="M117" s="108"/>
    </row>
    <row r="118" spans="1:13" ht="26.45" customHeight="1">
      <c r="A118" s="84"/>
      <c r="B118" s="1066" t="s">
        <v>269</v>
      </c>
      <c r="C118" s="1066"/>
      <c r="D118" s="1066"/>
      <c r="E118" s="1066"/>
      <c r="F118" s="1066"/>
      <c r="G118" s="1066"/>
      <c r="H118" s="1066"/>
      <c r="I118" s="1066"/>
      <c r="J118" s="1066"/>
      <c r="K118" s="1066"/>
      <c r="L118" s="1066"/>
      <c r="M118" s="108"/>
    </row>
    <row r="119" spans="1:13">
      <c r="A119" s="84"/>
      <c r="B119" s="94"/>
      <c r="C119" s="84"/>
      <c r="D119" s="86"/>
      <c r="E119" s="86"/>
      <c r="F119" s="86"/>
      <c r="G119" s="85"/>
      <c r="H119" s="85"/>
      <c r="I119" s="85"/>
      <c r="J119" s="85"/>
      <c r="K119" s="85"/>
      <c r="L119" s="85"/>
      <c r="M119" s="108"/>
    </row>
    <row r="120" spans="1:13">
      <c r="A120" s="84"/>
      <c r="B120" s="94"/>
      <c r="C120" s="84"/>
      <c r="D120" s="86"/>
      <c r="E120" s="86"/>
      <c r="F120" s="86"/>
      <c r="G120" s="85"/>
      <c r="H120" s="85"/>
      <c r="I120" s="85"/>
      <c r="J120" s="85"/>
      <c r="K120" s="85"/>
      <c r="L120" s="85"/>
      <c r="M120" s="108"/>
    </row>
    <row r="121" spans="1:13">
      <c r="A121" s="84"/>
      <c r="B121" s="94"/>
      <c r="C121" s="84"/>
      <c r="D121" s="86"/>
      <c r="E121" s="86"/>
      <c r="F121" s="86"/>
      <c r="G121" s="85"/>
      <c r="H121" s="85"/>
      <c r="I121" s="85"/>
      <c r="J121" s="85"/>
      <c r="K121" s="85"/>
      <c r="L121" s="85"/>
      <c r="M121" s="108"/>
    </row>
    <row r="122" spans="1:13">
      <c r="A122" s="84"/>
      <c r="B122" s="94"/>
      <c r="C122" s="84"/>
      <c r="D122" s="86"/>
      <c r="E122" s="86"/>
      <c r="F122" s="86"/>
      <c r="G122" s="85"/>
      <c r="H122" s="85"/>
      <c r="I122" s="85"/>
      <c r="J122" s="85"/>
      <c r="K122" s="85"/>
      <c r="L122" s="85"/>
      <c r="M122" s="108"/>
    </row>
    <row r="123" spans="1:13">
      <c r="A123" s="84"/>
      <c r="B123" s="94"/>
      <c r="C123" s="84"/>
      <c r="D123" s="86"/>
      <c r="E123" s="86"/>
      <c r="F123" s="86"/>
      <c r="G123" s="85"/>
      <c r="H123" s="85"/>
      <c r="I123" s="85"/>
      <c r="J123" s="85"/>
      <c r="K123" s="85"/>
      <c r="L123" s="85"/>
      <c r="M123" s="108"/>
    </row>
    <row r="124" spans="1:13">
      <c r="A124" s="84"/>
      <c r="B124" s="85" t="s">
        <v>271</v>
      </c>
      <c r="C124" s="84"/>
      <c r="D124" s="86"/>
      <c r="E124" s="85" t="s">
        <v>271</v>
      </c>
      <c r="F124" s="86"/>
      <c r="G124" s="85"/>
      <c r="H124" s="85"/>
      <c r="I124" s="85"/>
      <c r="J124" s="85" t="s">
        <v>271</v>
      </c>
      <c r="K124" s="85"/>
      <c r="L124" s="85"/>
      <c r="M124" s="108"/>
    </row>
    <row r="125" spans="1:13">
      <c r="A125" s="84"/>
      <c r="B125" s="115">
        <f>IF(DATOS!E16="Persona Jurídica",DATOS!G20,DATOS!G16)</f>
        <v>0</v>
      </c>
      <c r="C125" s="84"/>
      <c r="D125" s="86"/>
      <c r="E125" s="128">
        <f>IF(DATOS!E10="CONTRATO DE OBRA",IF(DATOS!E24="Persona Jurídica",DATOS!G28,DATOS!G24),DATOS!G30)</f>
        <v>0</v>
      </c>
      <c r="F125" s="86"/>
      <c r="G125" s="85"/>
      <c r="H125" s="85"/>
      <c r="I125" s="85"/>
      <c r="J125" s="115">
        <f>DATOS!E42</f>
        <v>0</v>
      </c>
      <c r="K125" s="85"/>
      <c r="L125" s="85"/>
      <c r="M125" s="108"/>
    </row>
    <row r="126" spans="1:13">
      <c r="A126" s="84"/>
      <c r="B126" s="85" t="str">
        <f>IF(DATOS!E16="Persona Jurídica",DATOS!G16,"CONTRATISTA")</f>
        <v>CONTRATISTA</v>
      </c>
      <c r="C126" s="84"/>
      <c r="D126" s="86"/>
      <c r="E126" s="127" t="str">
        <f>IF(DATOS!E24="Persona Jurídica",DATOS!G24,"INTERVENTOR")</f>
        <v>INTERVENTOR</v>
      </c>
      <c r="F126" s="86"/>
      <c r="G126" s="85"/>
      <c r="H126" s="85"/>
      <c r="I126" s="85"/>
      <c r="J126" s="85" t="s">
        <v>330</v>
      </c>
      <c r="K126" s="85"/>
      <c r="L126" s="85"/>
      <c r="M126" s="108"/>
    </row>
    <row r="127" spans="1:13">
      <c r="A127" s="84"/>
      <c r="B127" s="85" t="str">
        <f>IF(DATOS!E16="Persona jurídica","CONTRATISTA"," ")</f>
        <v xml:space="preserve"> </v>
      </c>
      <c r="C127" s="84"/>
      <c r="D127" s="86"/>
      <c r="E127" s="127" t="str">
        <f>IF(DATOS!E24="Persona jurídica","INTERVENTOR"," ")</f>
        <v xml:space="preserve"> </v>
      </c>
      <c r="F127" s="86"/>
      <c r="G127" s="85"/>
      <c r="H127" s="85"/>
      <c r="I127" s="85"/>
      <c r="J127" s="85" t="s">
        <v>270</v>
      </c>
      <c r="K127" s="85"/>
      <c r="L127" s="85"/>
      <c r="M127" s="108"/>
    </row>
    <row r="128" spans="1:13">
      <c r="A128" s="84"/>
      <c r="B128" s="85"/>
      <c r="C128" s="84"/>
      <c r="D128" s="86"/>
      <c r="E128" s="86"/>
      <c r="F128" s="86"/>
      <c r="G128" s="85"/>
      <c r="H128" s="85"/>
      <c r="I128" s="85"/>
      <c r="J128" s="85"/>
      <c r="K128" s="85"/>
      <c r="L128" s="85"/>
      <c r="M128" s="108"/>
    </row>
    <row r="129" spans="1:13">
      <c r="A129" s="84"/>
      <c r="B129" s="85"/>
      <c r="C129" s="84"/>
      <c r="D129" s="86"/>
      <c r="E129" s="86"/>
      <c r="F129" s="86"/>
      <c r="G129" s="85"/>
      <c r="H129" s="85"/>
      <c r="I129" s="85"/>
      <c r="J129" s="85"/>
      <c r="K129" s="85"/>
      <c r="L129" s="85"/>
      <c r="M129" s="108"/>
    </row>
    <row r="130" spans="1:13">
      <c r="A130" s="84"/>
      <c r="B130" s="85"/>
      <c r="C130" s="84"/>
      <c r="D130" s="86"/>
      <c r="E130" s="86"/>
      <c r="F130" s="86"/>
      <c r="G130" s="85"/>
      <c r="H130" s="85"/>
      <c r="I130" s="85"/>
      <c r="J130" s="85"/>
      <c r="K130" s="85"/>
      <c r="L130" s="85"/>
      <c r="M130" s="108"/>
    </row>
    <row r="131" spans="1:13">
      <c r="A131" s="84"/>
      <c r="B131" s="85"/>
      <c r="C131" s="84"/>
      <c r="D131" s="86"/>
      <c r="E131" s="86"/>
      <c r="F131" s="86"/>
      <c r="G131" s="85"/>
      <c r="H131" s="85"/>
      <c r="I131" s="85"/>
      <c r="J131" s="85"/>
      <c r="K131" s="85"/>
      <c r="L131" s="85"/>
      <c r="M131" s="108"/>
    </row>
    <row r="132" spans="1:13">
      <c r="A132" s="84"/>
      <c r="B132" s="85"/>
      <c r="C132" s="84"/>
      <c r="D132" s="86"/>
      <c r="E132" s="86"/>
      <c r="F132" s="86"/>
      <c r="G132" s="85"/>
      <c r="H132" s="85"/>
      <c r="I132" s="85"/>
      <c r="J132" s="85"/>
      <c r="K132" s="85"/>
      <c r="L132" s="85"/>
      <c r="M132" s="108"/>
    </row>
    <row r="133" spans="1:13">
      <c r="A133" s="84"/>
      <c r="B133" s="85"/>
      <c r="C133" s="84"/>
      <c r="D133" s="86"/>
      <c r="E133" s="86"/>
      <c r="F133" s="86"/>
      <c r="G133" s="85"/>
      <c r="H133" s="85"/>
      <c r="I133" s="85"/>
      <c r="J133" s="85"/>
      <c r="K133" s="85"/>
      <c r="L133" s="85"/>
      <c r="M133" s="108"/>
    </row>
    <row r="134" spans="1:13">
      <c r="A134" s="84"/>
      <c r="B134" s="85"/>
      <c r="C134" s="84"/>
      <c r="D134" s="86"/>
      <c r="E134" s="86"/>
      <c r="F134" s="86"/>
      <c r="G134" s="85"/>
      <c r="H134" s="85"/>
      <c r="I134" s="85"/>
      <c r="J134" s="85"/>
      <c r="K134" s="85"/>
      <c r="L134" s="85"/>
      <c r="M134" s="108"/>
    </row>
    <row r="135" spans="1:13">
      <c r="A135" s="84"/>
      <c r="B135" s="85"/>
      <c r="C135" s="84"/>
      <c r="D135" s="86"/>
      <c r="E135" s="86"/>
      <c r="F135" s="86"/>
      <c r="G135" s="85"/>
      <c r="H135" s="85"/>
      <c r="I135" s="85"/>
      <c r="J135" s="85"/>
      <c r="K135" s="85"/>
      <c r="L135" s="85"/>
      <c r="M135" s="108"/>
    </row>
    <row r="136" spans="1:13">
      <c r="A136" s="84"/>
      <c r="B136" s="85"/>
      <c r="C136" s="84"/>
      <c r="D136" s="86"/>
      <c r="E136" s="86"/>
      <c r="F136" s="86"/>
      <c r="G136" s="85"/>
      <c r="H136" s="85"/>
      <c r="I136" s="85"/>
      <c r="J136" s="85"/>
      <c r="K136" s="85"/>
      <c r="L136" s="85"/>
      <c r="M136" s="108"/>
    </row>
    <row r="137" spans="1:13">
      <c r="A137" s="84"/>
      <c r="B137" s="85"/>
      <c r="C137" s="84"/>
      <c r="D137" s="86"/>
      <c r="E137" s="86"/>
      <c r="F137" s="86"/>
      <c r="G137" s="85"/>
      <c r="H137" s="85"/>
      <c r="I137" s="85"/>
      <c r="J137" s="85"/>
      <c r="K137" s="85"/>
      <c r="L137" s="85"/>
      <c r="M137" s="108"/>
    </row>
    <row r="138" spans="1:13">
      <c r="A138" s="84"/>
      <c r="B138" s="85"/>
      <c r="C138" s="84"/>
      <c r="D138" s="86"/>
      <c r="E138" s="86"/>
      <c r="F138" s="86"/>
      <c r="G138" s="85"/>
      <c r="H138" s="85"/>
      <c r="I138" s="85"/>
      <c r="J138" s="85"/>
      <c r="K138" s="85"/>
      <c r="L138" s="85"/>
      <c r="M138" s="108"/>
    </row>
    <row r="139" spans="1:13">
      <c r="A139" s="84"/>
      <c r="B139" s="85"/>
      <c r="C139" s="84"/>
      <c r="D139" s="86"/>
      <c r="E139" s="86"/>
      <c r="F139" s="86"/>
      <c r="G139" s="85"/>
      <c r="H139" s="85"/>
      <c r="I139" s="85"/>
      <c r="J139" s="85"/>
      <c r="K139" s="85"/>
      <c r="L139" s="85"/>
      <c r="M139" s="108"/>
    </row>
    <row r="140" spans="1:13">
      <c r="A140" s="84"/>
      <c r="B140" s="85"/>
      <c r="C140" s="84"/>
      <c r="D140" s="86"/>
      <c r="E140" s="86"/>
      <c r="F140" s="86"/>
      <c r="G140" s="85"/>
      <c r="H140" s="85"/>
      <c r="I140" s="85"/>
      <c r="J140" s="85"/>
      <c r="K140" s="85"/>
      <c r="L140" s="85"/>
      <c r="M140" s="108"/>
    </row>
    <row r="141" spans="1:13">
      <c r="A141" s="84"/>
      <c r="B141" s="85"/>
      <c r="C141" s="84"/>
      <c r="D141" s="86"/>
      <c r="E141" s="86"/>
      <c r="F141" s="86"/>
      <c r="G141" s="85"/>
      <c r="H141" s="85"/>
      <c r="I141" s="85"/>
      <c r="J141" s="85"/>
      <c r="K141" s="85"/>
      <c r="L141" s="85"/>
      <c r="M141" s="108"/>
    </row>
    <row r="142" spans="1:13">
      <c r="A142" s="84"/>
      <c r="B142" s="85"/>
      <c r="C142" s="84"/>
      <c r="D142" s="86"/>
      <c r="E142" s="86"/>
      <c r="F142" s="86"/>
      <c r="G142" s="85"/>
      <c r="H142" s="85"/>
      <c r="I142" s="85"/>
      <c r="J142" s="85"/>
      <c r="K142" s="85"/>
      <c r="L142" s="85"/>
      <c r="M142" s="108"/>
    </row>
    <row r="143" spans="1:13">
      <c r="A143" s="84"/>
      <c r="B143" s="85"/>
      <c r="C143" s="84"/>
      <c r="D143" s="86"/>
      <c r="E143" s="86"/>
      <c r="F143" s="86"/>
      <c r="G143" s="85"/>
      <c r="H143" s="85"/>
      <c r="I143" s="85"/>
      <c r="J143" s="85"/>
      <c r="K143" s="85"/>
      <c r="L143" s="85"/>
      <c r="M143" s="108"/>
    </row>
    <row r="144" spans="1:13">
      <c r="A144" s="84"/>
      <c r="B144" s="85"/>
      <c r="C144" s="84"/>
      <c r="D144" s="86"/>
      <c r="E144" s="86"/>
      <c r="F144" s="86"/>
      <c r="G144" s="85"/>
      <c r="H144" s="85"/>
      <c r="I144" s="85"/>
      <c r="J144" s="85"/>
      <c r="K144" s="85"/>
      <c r="L144" s="85"/>
      <c r="M144" s="108"/>
    </row>
    <row r="145" spans="1:13">
      <c r="A145" s="84"/>
      <c r="B145" s="85"/>
      <c r="C145" s="84"/>
      <c r="D145" s="86"/>
      <c r="E145" s="86"/>
      <c r="F145" s="86"/>
      <c r="G145" s="85"/>
      <c r="H145" s="85"/>
      <c r="I145" s="85"/>
      <c r="J145" s="85"/>
      <c r="K145" s="85"/>
      <c r="L145" s="85"/>
      <c r="M145" s="108"/>
    </row>
    <row r="146" spans="1:13">
      <c r="A146" s="84"/>
      <c r="B146" s="85"/>
      <c r="C146" s="84"/>
      <c r="D146" s="86"/>
      <c r="E146" s="86"/>
      <c r="F146" s="86"/>
      <c r="G146" s="85"/>
      <c r="H146" s="85"/>
      <c r="I146" s="85"/>
      <c r="J146" s="85"/>
      <c r="K146" s="85"/>
      <c r="L146" s="85"/>
      <c r="M146" s="108"/>
    </row>
    <row r="147" spans="1:13">
      <c r="A147" s="84"/>
      <c r="B147" s="85"/>
      <c r="C147" s="84"/>
      <c r="D147" s="86"/>
      <c r="E147" s="86"/>
      <c r="F147" s="86"/>
      <c r="G147" s="85"/>
      <c r="H147" s="85"/>
      <c r="I147" s="85"/>
      <c r="J147" s="85"/>
      <c r="K147" s="85"/>
      <c r="L147" s="85"/>
      <c r="M147" s="108"/>
    </row>
    <row r="148" spans="1:13">
      <c r="A148" s="84"/>
      <c r="B148" s="85"/>
      <c r="C148" s="84"/>
      <c r="D148" s="86"/>
      <c r="E148" s="86"/>
      <c r="F148" s="86"/>
      <c r="G148" s="85"/>
      <c r="H148" s="85"/>
      <c r="I148" s="85"/>
      <c r="J148" s="85"/>
      <c r="K148" s="85"/>
      <c r="L148" s="85"/>
      <c r="M148" s="108"/>
    </row>
    <row r="149" spans="1:13">
      <c r="A149" s="84"/>
      <c r="B149" s="85"/>
      <c r="C149" s="84"/>
      <c r="D149" s="86"/>
      <c r="E149" s="86"/>
      <c r="F149" s="86"/>
      <c r="G149" s="85"/>
      <c r="H149" s="85"/>
      <c r="I149" s="85"/>
      <c r="J149" s="85"/>
      <c r="K149" s="85"/>
      <c r="L149" s="85"/>
      <c r="M149" s="108"/>
    </row>
    <row r="150" spans="1:13">
      <c r="A150" s="84"/>
      <c r="B150" s="85"/>
      <c r="C150" s="84"/>
      <c r="D150" s="86"/>
      <c r="E150" s="86"/>
      <c r="F150" s="86"/>
      <c r="G150" s="85"/>
      <c r="H150" s="85"/>
      <c r="I150" s="85"/>
      <c r="J150" s="85"/>
      <c r="K150" s="85"/>
      <c r="L150" s="85"/>
      <c r="M150" s="108"/>
    </row>
    <row r="151" spans="1:13">
      <c r="A151" s="84"/>
      <c r="B151" s="85"/>
      <c r="C151" s="84"/>
      <c r="D151" s="86"/>
      <c r="E151" s="86"/>
      <c r="F151" s="86"/>
      <c r="G151" s="85"/>
      <c r="H151" s="85"/>
      <c r="I151" s="85"/>
      <c r="J151" s="85"/>
      <c r="K151" s="85"/>
      <c r="L151" s="85"/>
      <c r="M151" s="108"/>
    </row>
    <row r="152" spans="1:13">
      <c r="A152" s="84"/>
      <c r="B152" s="85"/>
      <c r="C152" s="84"/>
      <c r="D152" s="86"/>
      <c r="E152" s="86"/>
      <c r="F152" s="86"/>
      <c r="G152" s="85"/>
      <c r="H152" s="85"/>
      <c r="I152" s="85"/>
      <c r="J152" s="85"/>
      <c r="K152" s="85"/>
      <c r="L152" s="85"/>
      <c r="M152" s="108"/>
    </row>
    <row r="153" spans="1:13">
      <c r="A153" s="84"/>
      <c r="B153" s="85"/>
      <c r="C153" s="84"/>
      <c r="D153" s="86"/>
      <c r="E153" s="86"/>
      <c r="F153" s="86"/>
      <c r="G153" s="85"/>
      <c r="H153" s="85"/>
      <c r="I153" s="85"/>
      <c r="J153" s="85"/>
      <c r="K153" s="85"/>
      <c r="L153" s="85"/>
      <c r="M153" s="108"/>
    </row>
    <row r="154" spans="1:13">
      <c r="A154" s="84"/>
      <c r="B154" s="85"/>
      <c r="C154" s="84"/>
      <c r="D154" s="86"/>
      <c r="E154" s="86"/>
      <c r="F154" s="86"/>
      <c r="G154" s="85"/>
      <c r="H154" s="85"/>
      <c r="I154" s="85"/>
      <c r="J154" s="85"/>
      <c r="K154" s="85"/>
      <c r="L154" s="85"/>
      <c r="M154" s="108"/>
    </row>
    <row r="155" spans="1:13">
      <c r="A155" s="84"/>
      <c r="B155" s="85"/>
      <c r="C155" s="84"/>
      <c r="D155" s="86"/>
      <c r="E155" s="86"/>
      <c r="F155" s="86"/>
      <c r="G155" s="85"/>
      <c r="H155" s="85"/>
      <c r="I155" s="85"/>
      <c r="J155" s="85"/>
      <c r="K155" s="85"/>
      <c r="L155" s="85"/>
      <c r="M155" s="108"/>
    </row>
    <row r="156" spans="1:13">
      <c r="A156" s="84"/>
      <c r="B156" s="85"/>
      <c r="C156" s="84"/>
      <c r="D156" s="86"/>
      <c r="E156" s="86"/>
      <c r="F156" s="86"/>
      <c r="G156" s="85"/>
      <c r="H156" s="85"/>
      <c r="I156" s="85"/>
      <c r="J156" s="85"/>
      <c r="K156" s="85"/>
      <c r="L156" s="85"/>
      <c r="M156" s="108"/>
    </row>
    <row r="157" spans="1:13">
      <c r="A157" s="84"/>
      <c r="B157" s="85"/>
      <c r="C157" s="84"/>
      <c r="D157" s="86"/>
      <c r="E157" s="86"/>
      <c r="F157" s="86"/>
      <c r="G157" s="85"/>
      <c r="H157" s="85"/>
      <c r="I157" s="85"/>
      <c r="J157" s="85"/>
      <c r="K157" s="85"/>
      <c r="L157" s="85"/>
      <c r="M157" s="108"/>
    </row>
    <row r="158" spans="1:13">
      <c r="A158" s="84"/>
      <c r="B158" s="85"/>
      <c r="C158" s="84"/>
      <c r="D158" s="86"/>
      <c r="E158" s="86"/>
      <c r="F158" s="86"/>
      <c r="G158" s="85"/>
      <c r="H158" s="85"/>
      <c r="I158" s="85"/>
      <c r="J158" s="85"/>
      <c r="K158" s="85"/>
      <c r="L158" s="85"/>
      <c r="M158" s="108"/>
    </row>
    <row r="159" spans="1:13">
      <c r="A159" s="84"/>
      <c r="B159" s="85"/>
      <c r="C159" s="84"/>
      <c r="D159" s="86"/>
      <c r="E159" s="86"/>
      <c r="F159" s="86"/>
      <c r="G159" s="85"/>
      <c r="H159" s="85"/>
      <c r="I159" s="85"/>
      <c r="J159" s="85"/>
      <c r="K159" s="85"/>
      <c r="L159" s="85"/>
      <c r="M159" s="108"/>
    </row>
    <row r="160" spans="1:13">
      <c r="A160" s="84"/>
      <c r="B160" s="85"/>
      <c r="C160" s="84"/>
      <c r="D160" s="86"/>
      <c r="E160" s="86"/>
      <c r="F160" s="86"/>
      <c r="G160" s="85"/>
      <c r="H160" s="85"/>
      <c r="I160" s="85"/>
      <c r="J160" s="85"/>
      <c r="K160" s="85"/>
      <c r="L160" s="85"/>
      <c r="M160" s="108"/>
    </row>
    <row r="161" spans="1:13">
      <c r="A161" s="84"/>
      <c r="B161" s="85"/>
      <c r="C161" s="84"/>
      <c r="D161" s="86"/>
      <c r="E161" s="86"/>
      <c r="F161" s="86"/>
      <c r="G161" s="85"/>
      <c r="H161" s="85"/>
      <c r="I161" s="85"/>
      <c r="J161" s="85"/>
      <c r="K161" s="85"/>
      <c r="L161" s="85"/>
      <c r="M161" s="108"/>
    </row>
    <row r="162" spans="1:13">
      <c r="A162" s="84"/>
      <c r="B162" s="85"/>
      <c r="C162" s="84"/>
      <c r="D162" s="86"/>
      <c r="E162" s="86"/>
      <c r="F162" s="86"/>
      <c r="G162" s="85"/>
      <c r="H162" s="85"/>
      <c r="I162" s="85"/>
      <c r="J162" s="85"/>
      <c r="K162" s="85"/>
      <c r="L162" s="85"/>
      <c r="M162" s="108"/>
    </row>
  </sheetData>
  <mergeCells count="31">
    <mergeCell ref="B118:L118"/>
    <mergeCell ref="B69:C69"/>
    <mergeCell ref="B84:C84"/>
    <mergeCell ref="B86:C86"/>
    <mergeCell ref="B88:C88"/>
    <mergeCell ref="B90:C90"/>
    <mergeCell ref="C115:L115"/>
    <mergeCell ref="K12:L13"/>
    <mergeCell ref="F13:G13"/>
    <mergeCell ref="A15:A16"/>
    <mergeCell ref="B15:B16"/>
    <mergeCell ref="C15:F15"/>
    <mergeCell ref="G15:H15"/>
    <mergeCell ref="I15:J15"/>
    <mergeCell ref="K15:L15"/>
    <mergeCell ref="A10:A13"/>
    <mergeCell ref="B10:B13"/>
    <mergeCell ref="F10:G10"/>
    <mergeCell ref="F11:G11"/>
    <mergeCell ref="F12:G12"/>
    <mergeCell ref="K4:L11"/>
    <mergeCell ref="A1:B9"/>
    <mergeCell ref="C1:J1"/>
    <mergeCell ref="F7:G7"/>
    <mergeCell ref="F8:G8"/>
    <mergeCell ref="F9:G9"/>
    <mergeCell ref="F2:G2"/>
    <mergeCell ref="F3:G3"/>
    <mergeCell ref="F4:G4"/>
    <mergeCell ref="F5:G5"/>
    <mergeCell ref="F6:G6"/>
  </mergeCells>
  <conditionalFormatting sqref="F11:G11">
    <cfRule type="expression" dxfId="259" priority="23">
      <formula>$F$11&gt;0</formula>
    </cfRule>
  </conditionalFormatting>
  <conditionalFormatting sqref="F12:G12">
    <cfRule type="expression" dxfId="258" priority="22">
      <formula>$F$12&gt;0</formula>
    </cfRule>
  </conditionalFormatting>
  <conditionalFormatting sqref="F13:G13">
    <cfRule type="expression" dxfId="257" priority="21">
      <formula>$F$13&gt;0</formula>
    </cfRule>
  </conditionalFormatting>
  <conditionalFormatting sqref="J3">
    <cfRule type="expression" dxfId="256" priority="20">
      <formula>$J$3&gt;0</formula>
    </cfRule>
  </conditionalFormatting>
  <conditionalFormatting sqref="J4">
    <cfRule type="expression" dxfId="255" priority="19">
      <formula>$J$4&gt;0</formula>
    </cfRule>
  </conditionalFormatting>
  <conditionalFormatting sqref="J5">
    <cfRule type="expression" dxfId="254" priority="18">
      <formula>$J$5&gt;0</formula>
    </cfRule>
  </conditionalFormatting>
  <conditionalFormatting sqref="J6">
    <cfRule type="expression" dxfId="253" priority="17">
      <formula>$J$6&gt;0</formula>
    </cfRule>
  </conditionalFormatting>
  <conditionalFormatting sqref="J7">
    <cfRule type="expression" dxfId="252" priority="16">
      <formula>$J$7&gt;0</formula>
    </cfRule>
  </conditionalFormatting>
  <conditionalFormatting sqref="J8">
    <cfRule type="expression" dxfId="251" priority="15">
      <formula>$J$8&gt;0</formula>
    </cfRule>
  </conditionalFormatting>
  <conditionalFormatting sqref="J9">
    <cfRule type="expression" dxfId="250" priority="14">
      <formula>$J$9&gt;0</formula>
    </cfRule>
  </conditionalFormatting>
  <conditionalFormatting sqref="J10">
    <cfRule type="expression" dxfId="249" priority="12">
      <formula>$J$10&gt;0</formula>
    </cfRule>
    <cfRule type="expression" dxfId="248" priority="13">
      <formula>$J$10&gt;0</formula>
    </cfRule>
  </conditionalFormatting>
  <conditionalFormatting sqref="J11">
    <cfRule type="expression" dxfId="247" priority="11">
      <formula>$J$11&gt;0</formula>
    </cfRule>
  </conditionalFormatting>
  <conditionalFormatting sqref="J12">
    <cfRule type="expression" dxfId="246" priority="10">
      <formula>$J$12&gt;0</formula>
    </cfRule>
  </conditionalFormatting>
  <conditionalFormatting sqref="F4:G4">
    <cfRule type="expression" dxfId="245" priority="9">
      <formula>$F$4=" "</formula>
    </cfRule>
  </conditionalFormatting>
  <conditionalFormatting sqref="F6:G6">
    <cfRule type="expression" dxfId="244" priority="8">
      <formula>$F$6=" "</formula>
    </cfRule>
  </conditionalFormatting>
  <conditionalFormatting sqref="I17:I19">
    <cfRule type="expression" dxfId="243" priority="7">
      <formula>I17&gt;G17</formula>
    </cfRule>
  </conditionalFormatting>
  <conditionalFormatting sqref="I61 I63">
    <cfRule type="expression" dxfId="242" priority="6">
      <formula>I61&gt;G61</formula>
    </cfRule>
  </conditionalFormatting>
  <conditionalFormatting sqref="I71 I80">
    <cfRule type="expression" dxfId="241" priority="5">
      <formula>I71&gt;G71</formula>
    </cfRule>
  </conditionalFormatting>
  <conditionalFormatting sqref="I20:I60 I72:I78">
    <cfRule type="expression" dxfId="240" priority="4">
      <formula>$K20&gt;$G20</formula>
    </cfRule>
  </conditionalFormatting>
  <conditionalFormatting sqref="I62">
    <cfRule type="expression" dxfId="239" priority="3">
      <formula>I62&gt;G62</formula>
    </cfRule>
  </conditionalFormatting>
  <conditionalFormatting sqref="I79">
    <cfRule type="expression" dxfId="238" priority="2">
      <formula>I79&gt;G79</formula>
    </cfRule>
  </conditionalFormatting>
  <conditionalFormatting sqref="F109">
    <cfRule type="expression" dxfId="237" priority="1">
      <formula>$F$109&lt;&gt;$L$91</formula>
    </cfRule>
  </conditionalFormatting>
  <printOptions horizontalCentered="1"/>
  <pageMargins left="0.43307086614173229" right="0.43307086614173229" top="0.59055118110236227" bottom="0.59055118110236227" header="0.31496062992125984" footer="0.31496062992125984"/>
  <pageSetup scale="64" orientation="landscape" r:id="rId1"/>
  <headerFooter>
    <oddFooter>&amp;C&amp;"-,Cursiva"&amp;10&amp;A&amp;R&amp;"-,Cursiva"&amp;10Página &amp;P de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A1:M163"/>
  <sheetViews>
    <sheetView topLeftCell="A48" zoomScaleNormal="100" workbookViewId="0">
      <selection activeCell="K57" sqref="K57"/>
    </sheetView>
  </sheetViews>
  <sheetFormatPr baseColWidth="10" defaultColWidth="13.7109375" defaultRowHeight="12"/>
  <cols>
    <col min="1" max="1" width="7.7109375" style="81" customWidth="1"/>
    <col min="2" max="2" width="54.5703125" style="82" customWidth="1"/>
    <col min="3" max="3" width="5.7109375" style="81" customWidth="1"/>
    <col min="4" max="4" width="9.140625" style="83" customWidth="1"/>
    <col min="5" max="5" width="14.7109375" style="83" customWidth="1"/>
    <col min="6" max="6" width="15.85546875" style="83" customWidth="1"/>
    <col min="7" max="7" width="13.42578125" style="82" customWidth="1"/>
    <col min="8" max="8" width="14.7109375" style="82" customWidth="1"/>
    <col min="9" max="9" width="13.28515625" style="82" customWidth="1"/>
    <col min="10" max="10" width="21.28515625" style="82" customWidth="1"/>
    <col min="11" max="12" width="15.28515625" style="82" customWidth="1"/>
    <col min="13" max="13" width="4.7109375" style="82" customWidth="1"/>
    <col min="14" max="16384" width="13.7109375" style="82"/>
  </cols>
  <sheetData>
    <row r="1" spans="1:12" ht="14.45" customHeight="1">
      <c r="A1" s="1049" t="s">
        <v>246</v>
      </c>
      <c r="B1" s="1050"/>
      <c r="C1" s="1051" t="str">
        <f>"MUNICIPIO DE "&amp;DATOS!E8</f>
        <v xml:space="preserve">MUNICIPIO DE </v>
      </c>
      <c r="D1" s="1052"/>
      <c r="E1" s="1052"/>
      <c r="F1" s="1052"/>
      <c r="G1" s="1052"/>
      <c r="H1" s="1052"/>
      <c r="I1" s="1052"/>
      <c r="J1" s="1052"/>
      <c r="K1" s="129" t="s">
        <v>90</v>
      </c>
      <c r="L1" s="130" t="s">
        <v>84</v>
      </c>
    </row>
    <row r="2" spans="1:12" ht="12" customHeight="1">
      <c r="A2" s="1050"/>
      <c r="B2" s="1050"/>
      <c r="C2" s="103" t="str">
        <f>DATOS!E10&amp;" No.:"</f>
        <v xml:space="preserve"> No.:</v>
      </c>
      <c r="D2" s="104"/>
      <c r="E2" s="105"/>
      <c r="F2" s="1053" t="str">
        <f>DATOS!E12&amp;" "&amp;DATOS!G12&amp;" "&amp;DATOS!I12</f>
        <v xml:space="preserve">  </v>
      </c>
      <c r="G2" s="1055"/>
      <c r="H2" s="103" t="s">
        <v>184</v>
      </c>
      <c r="I2" s="105"/>
      <c r="J2" s="109">
        <f>DATOS!E52</f>
        <v>0</v>
      </c>
      <c r="K2" s="129" t="s">
        <v>89</v>
      </c>
      <c r="L2" s="130" t="s">
        <v>248</v>
      </c>
    </row>
    <row r="3" spans="1:12" ht="12" customHeight="1">
      <c r="A3" s="1050"/>
      <c r="B3" s="1050"/>
      <c r="C3" s="98" t="s">
        <v>4</v>
      </c>
      <c r="D3" s="99"/>
      <c r="E3" s="100"/>
      <c r="F3" s="1053">
        <f>DATOS!G16</f>
        <v>0</v>
      </c>
      <c r="G3" s="1055"/>
      <c r="H3" s="103" t="s">
        <v>236</v>
      </c>
      <c r="I3" s="105"/>
      <c r="J3" s="110">
        <f>DATOS!E72</f>
        <v>42428</v>
      </c>
      <c r="K3" s="129" t="s">
        <v>247</v>
      </c>
      <c r="L3" s="130" t="s">
        <v>249</v>
      </c>
    </row>
    <row r="4" spans="1:12" ht="12" customHeight="1">
      <c r="A4" s="1050"/>
      <c r="B4" s="1050"/>
      <c r="C4" s="98" t="s">
        <v>5</v>
      </c>
      <c r="D4" s="99"/>
      <c r="E4" s="100"/>
      <c r="F4" s="1053" t="str">
        <f>IF(DATOS!E16="Persona Jurídica",DATOS!G20," ")</f>
        <v xml:space="preserve"> </v>
      </c>
      <c r="G4" s="1055"/>
      <c r="H4" s="103" t="s">
        <v>241</v>
      </c>
      <c r="I4" s="105"/>
      <c r="J4" s="106">
        <f>DATOS!E74</f>
        <v>42459</v>
      </c>
      <c r="K4" s="1062" t="s">
        <v>376</v>
      </c>
      <c r="L4" s="1063"/>
    </row>
    <row r="5" spans="1:12" ht="12" customHeight="1">
      <c r="A5" s="1050"/>
      <c r="B5" s="1050"/>
      <c r="C5" s="98" t="s">
        <v>105</v>
      </c>
      <c r="D5" s="99"/>
      <c r="E5" s="100"/>
      <c r="F5" s="1053">
        <f>LOOKUP(C5,DATOS!C24:C30,DATOS!G24:G30)</f>
        <v>0</v>
      </c>
      <c r="G5" s="1055"/>
      <c r="H5" s="103" t="s">
        <v>237</v>
      </c>
      <c r="I5" s="105"/>
      <c r="J5" s="106">
        <f>DATOS!E78</f>
        <v>42491</v>
      </c>
      <c r="K5" s="1062"/>
      <c r="L5" s="1063"/>
    </row>
    <row r="6" spans="1:12" ht="12" customHeight="1">
      <c r="A6" s="1050"/>
      <c r="B6" s="1050"/>
      <c r="C6" s="98" t="s">
        <v>5</v>
      </c>
      <c r="D6" s="99"/>
      <c r="E6" s="100"/>
      <c r="F6" s="1053" t="str">
        <f>IF(DATOS!E24="Persona Jurídica",DATOS!G28," ")</f>
        <v xml:space="preserve"> </v>
      </c>
      <c r="G6" s="1055"/>
      <c r="H6" s="103" t="s">
        <v>242</v>
      </c>
      <c r="I6" s="105"/>
      <c r="J6" s="106">
        <f>DATOS!E80</f>
        <v>42916</v>
      </c>
      <c r="K6" s="1062"/>
      <c r="L6" s="1063"/>
    </row>
    <row r="7" spans="1:12" ht="12" customHeight="1">
      <c r="A7" s="1050"/>
      <c r="B7" s="1050"/>
      <c r="C7" s="98" t="s">
        <v>185</v>
      </c>
      <c r="D7" s="99"/>
      <c r="E7" s="100"/>
      <c r="F7" s="1041">
        <f>DATOS!E46</f>
        <v>0</v>
      </c>
      <c r="G7" s="1043"/>
      <c r="H7" s="103" t="s">
        <v>238</v>
      </c>
      <c r="I7" s="105"/>
      <c r="J7" s="106">
        <f>DATOS!E84</f>
        <v>42541</v>
      </c>
      <c r="K7" s="1062"/>
      <c r="L7" s="1063"/>
    </row>
    <row r="8" spans="1:12" ht="12" customHeight="1">
      <c r="A8" s="1050"/>
      <c r="B8" s="1050"/>
      <c r="C8" s="98" t="s">
        <v>77</v>
      </c>
      <c r="D8" s="99"/>
      <c r="E8" s="100"/>
      <c r="F8" s="1041">
        <f>DATOS!E60</f>
        <v>30000000</v>
      </c>
      <c r="G8" s="1043"/>
      <c r="H8" s="103" t="s">
        <v>243</v>
      </c>
      <c r="I8" s="105"/>
      <c r="J8" s="106">
        <f>DATOS!E86</f>
        <v>42546</v>
      </c>
      <c r="K8" s="1062"/>
      <c r="L8" s="1063"/>
    </row>
    <row r="9" spans="1:12" ht="12" customHeight="1">
      <c r="A9" s="1050"/>
      <c r="B9" s="1050"/>
      <c r="C9" s="98" t="s">
        <v>78</v>
      </c>
      <c r="D9" s="99"/>
      <c r="E9" s="100"/>
      <c r="F9" s="1041">
        <f>DATOS!E62</f>
        <v>0</v>
      </c>
      <c r="G9" s="1043"/>
      <c r="H9" s="103" t="s">
        <v>239</v>
      </c>
      <c r="I9" s="105"/>
      <c r="J9" s="106">
        <f>DATOS!E90</f>
        <v>0</v>
      </c>
      <c r="K9" s="1062"/>
      <c r="L9" s="1063"/>
    </row>
    <row r="10" spans="1:12" ht="12" customHeight="1">
      <c r="A10" s="1044" t="s">
        <v>8</v>
      </c>
      <c r="B10" s="1045">
        <f>DATOS!E38</f>
        <v>0</v>
      </c>
      <c r="C10" s="98" t="s">
        <v>186</v>
      </c>
      <c r="D10" s="99"/>
      <c r="E10" s="100"/>
      <c r="F10" s="1041">
        <f>F7+F8+F9</f>
        <v>30000000</v>
      </c>
      <c r="G10" s="1043"/>
      <c r="H10" s="103" t="s">
        <v>244</v>
      </c>
      <c r="I10" s="105"/>
      <c r="J10" s="106">
        <f>DATOS!E92</f>
        <v>0</v>
      </c>
      <c r="K10" s="1062"/>
      <c r="L10" s="1063"/>
    </row>
    <row r="11" spans="1:12" ht="12" customHeight="1">
      <c r="A11" s="1044"/>
      <c r="B11" s="1045"/>
      <c r="C11" s="98" t="s">
        <v>233</v>
      </c>
      <c r="D11" s="99"/>
      <c r="E11" s="100"/>
      <c r="F11" s="1046">
        <f>DATOS!E174</f>
        <v>42602</v>
      </c>
      <c r="G11" s="1048"/>
      <c r="H11" s="103" t="s">
        <v>240</v>
      </c>
      <c r="I11" s="105"/>
      <c r="J11" s="106"/>
      <c r="K11" s="1064"/>
      <c r="L11" s="1065"/>
    </row>
    <row r="12" spans="1:12" ht="12" customHeight="1">
      <c r="A12" s="1044"/>
      <c r="B12" s="1045"/>
      <c r="C12" s="98" t="s">
        <v>234</v>
      </c>
      <c r="D12" s="99"/>
      <c r="E12" s="100"/>
      <c r="F12" s="1046">
        <f>DATOS!E176</f>
        <v>0</v>
      </c>
      <c r="G12" s="1048"/>
      <c r="H12" s="103" t="s">
        <v>245</v>
      </c>
      <c r="I12" s="105"/>
      <c r="J12" s="106"/>
      <c r="K12" s="1073">
        <f>DATOS!E154</f>
        <v>0</v>
      </c>
      <c r="L12" s="1074"/>
    </row>
    <row r="13" spans="1:12" ht="12" customHeight="1">
      <c r="A13" s="1044"/>
      <c r="B13" s="1045"/>
      <c r="C13" s="98" t="s">
        <v>235</v>
      </c>
      <c r="D13" s="99"/>
      <c r="E13" s="100"/>
      <c r="F13" s="1046">
        <f>DATOS!E178</f>
        <v>0</v>
      </c>
      <c r="G13" s="1048"/>
      <c r="H13" s="103" t="s">
        <v>72</v>
      </c>
      <c r="I13" s="105"/>
      <c r="J13" s="107">
        <f>DATOS!E132</f>
        <v>614</v>
      </c>
      <c r="K13" s="1075"/>
      <c r="L13" s="1076"/>
    </row>
    <row r="14" spans="1:12">
      <c r="A14" s="84"/>
      <c r="B14" s="85"/>
      <c r="C14" s="84"/>
      <c r="D14" s="86"/>
      <c r="E14" s="86"/>
      <c r="F14" s="86"/>
      <c r="G14" s="85"/>
      <c r="H14" s="85"/>
      <c r="I14" s="85"/>
      <c r="J14" s="85"/>
      <c r="K14" s="85"/>
      <c r="L14" s="85"/>
    </row>
    <row r="15" spans="1:12">
      <c r="A15" s="1040" t="s">
        <v>181</v>
      </c>
      <c r="B15" s="1040" t="s">
        <v>115</v>
      </c>
      <c r="C15" s="1147" t="s">
        <v>182</v>
      </c>
      <c r="D15" s="1148"/>
      <c r="E15" s="1148"/>
      <c r="F15" s="1149"/>
      <c r="G15" s="1139" t="s">
        <v>187</v>
      </c>
      <c r="H15" s="1140"/>
      <c r="I15" s="1141" t="s">
        <v>188</v>
      </c>
      <c r="J15" s="1142"/>
      <c r="K15" s="1143" t="s">
        <v>189</v>
      </c>
      <c r="L15" s="1143"/>
    </row>
    <row r="16" spans="1:12">
      <c r="A16" s="1040"/>
      <c r="B16" s="1040"/>
      <c r="C16" s="319" t="s">
        <v>164</v>
      </c>
      <c r="D16" s="96" t="s">
        <v>118</v>
      </c>
      <c r="E16" s="96" t="s">
        <v>180</v>
      </c>
      <c r="F16" s="96" t="s">
        <v>117</v>
      </c>
      <c r="G16" s="101" t="s">
        <v>317</v>
      </c>
      <c r="H16" s="101" t="s">
        <v>117</v>
      </c>
      <c r="I16" s="131" t="s">
        <v>317</v>
      </c>
      <c r="J16" s="131" t="s">
        <v>117</v>
      </c>
      <c r="K16" s="320" t="s">
        <v>317</v>
      </c>
      <c r="L16" s="320" t="s">
        <v>117</v>
      </c>
    </row>
    <row r="17" spans="1:13">
      <c r="A17" s="87" t="str">
        <f>IF(LOOKUP(M17,PPTO!$J$8:$J$269,PPTO!A$8:A$269)=0," ",LOOKUP(M17,PPTO!$J$8:$J$269,PPTO!A$8:A$269))</f>
        <v xml:space="preserve"> </v>
      </c>
      <c r="B17" s="88" t="str">
        <f>IF(LOOKUP(M17,PPTO!$J$8:J$269,PPTO!B$8:B$269)=0," ",LOOKUP(M17,PPTO!$J$8:J$269,PPTO!B$8:B$269))</f>
        <v xml:space="preserve"> </v>
      </c>
      <c r="C17" s="89" t="str">
        <f>IF(LOOKUP(M17,PPTO!$J$8:$J$269,PPTO!D$8:D$269)=0," ",LOOKUP(M17,PPTO!$J$8:$J$269,PPTO!D$8:D$269))</f>
        <v xml:space="preserve"> </v>
      </c>
      <c r="D17" s="90" t="str">
        <f>IF(LOOKUP(M17,PPTO!$J$8:$J$269,PPTO!D$8:D$269)=0," ",LOOKUP(M17,PPTO!$J$8:$J$269,PPTO!D$8:D$269))</f>
        <v xml:space="preserve"> </v>
      </c>
      <c r="E17" s="90" t="str">
        <f>IF(LOOKUP(M17,PPTO!$J$8:$J$269,PPTO!E$8:E$269)=0," ",LOOKUP(M17,PPTO!$J$8:$J$269,PPTO!E$8:E$269))</f>
        <v xml:space="preserve"> </v>
      </c>
      <c r="F17" s="90" t="str">
        <f>IF(LOOKUP(M17,PPTO!$J$8:$J$269,PPTO!F$8:F$269)=0," ",LOOKUP(M17,PPTO!$J$8:$J$269,PPTO!F$8:F$269))</f>
        <v xml:space="preserve"> </v>
      </c>
      <c r="G17" s="178"/>
      <c r="H17" s="102"/>
      <c r="I17" s="174"/>
      <c r="J17" s="102"/>
      <c r="K17" s="102"/>
      <c r="L17" s="102"/>
      <c r="M17" s="108">
        <v>1</v>
      </c>
    </row>
    <row r="18" spans="1:13">
      <c r="A18" s="87" t="str">
        <f>IF(LOOKUP(M18,PPTO!$J$8:$J$269,PPTO!A$8:A$269)=0," ",LOOKUP(M18,PPTO!$J$8:$J$269,PPTO!A$8:A$269))</f>
        <v xml:space="preserve"> </v>
      </c>
      <c r="B18" s="88" t="str">
        <f>IF(LOOKUP(M18,PPTO!$J$8:J$269,PPTO!B$8:B$269)=0," ",LOOKUP(M18,PPTO!$J$8:J$269,PPTO!B$8:B$269))</f>
        <v>PRESUPUESTO OBRA CIVIL</v>
      </c>
      <c r="C18" s="89" t="str">
        <f>IF(LOOKUP(M18,PPTO!$J$8:$J$269,PPTO!D$8:D$269)=0," ",LOOKUP(M18,PPTO!$J$8:$J$269,PPTO!D$8:D$269))</f>
        <v xml:space="preserve"> </v>
      </c>
      <c r="D18" s="90" t="str">
        <f>IF(LOOKUP(M18,PPTO!$J$8:$J$269,PPTO!D$8:D$269)=0," ",LOOKUP(M18,PPTO!$J$8:$J$269,PPTO!D$8:D$269))</f>
        <v xml:space="preserve"> </v>
      </c>
      <c r="E18" s="90" t="str">
        <f>IF(LOOKUP(M18,PPTO!$J$8:$J$269,PPTO!E$8:E$269)=0," ",LOOKUP(M18,PPTO!$J$8:$J$269,PPTO!E$8:E$269))</f>
        <v xml:space="preserve"> </v>
      </c>
      <c r="F18" s="90" t="str">
        <f>IF(LOOKUP(M18,PPTO!$J$8:$J$269,PPTO!H$8:H$269)=0," ",LOOKUP(M18,PPTO!$J$8:$J$269,PPTO!H$8:H$269))</f>
        <v xml:space="preserve"> </v>
      </c>
      <c r="G18" s="178"/>
      <c r="H18" s="102"/>
      <c r="I18" s="174"/>
      <c r="J18" s="102"/>
      <c r="K18" s="102"/>
      <c r="L18" s="102"/>
      <c r="M18" s="108">
        <f>M17+1</f>
        <v>2</v>
      </c>
    </row>
    <row r="19" spans="1:13">
      <c r="A19" s="92">
        <f>IF(LOOKUP(M19,PPTO!$J$8:$J$269,PPTO!A$8:A$269)=0," ",LOOKUP(M19,PPTO!$J$8:$J$269,PPTO!A$8:A$269))</f>
        <v>1</v>
      </c>
      <c r="B19" s="88" t="str">
        <f>IF(LOOKUP(M19,PPTO!$J$8:J$269,PPTO!B$8:B$269)=0," ",LOOKUP(M19,PPTO!$J$8:J$269,PPTO!B$8:B$269))</f>
        <v>PRELIMINARES</v>
      </c>
      <c r="C19" s="89" t="str">
        <f>IF(LOOKUP(M19,PPTO!$J$8:$J$269,PPTO!D$8:D$269)=0," ",LOOKUP(M19,PPTO!$J$8:$J$269,PPTO!D$8:D$269))</f>
        <v xml:space="preserve"> </v>
      </c>
      <c r="D19" s="90" t="str">
        <f>IF(LOOKUP(M19,PPTO!$J$8:$J$269,PPTO!E$8:E$269)=0," ",LOOKUP(M19,PPTO!$J$8:$J$269,PPTO!E$8:E$269))</f>
        <v xml:space="preserve"> </v>
      </c>
      <c r="E19" s="90" t="str">
        <f>IF(LOOKUP(M19,PPTO!$J$8:$J$269,PPTO!F$8:F$269)=0," ",LOOKUP(M19,PPTO!$J$8:$J$269,PPTO!F$8:F$269))</f>
        <v xml:space="preserve"> </v>
      </c>
      <c r="F19" s="90" t="str">
        <f>IF(LOOKUP(M19,PPTO!$J$8:$J$269,PPTO!H$8:H$269)=0," ",LOOKUP(M19,PPTO!$J$8:$J$269,PPTO!H$8:H$269))</f>
        <v xml:space="preserve"> </v>
      </c>
      <c r="G19" s="178"/>
      <c r="H19" s="102"/>
      <c r="I19" s="174"/>
      <c r="J19" s="102"/>
      <c r="K19" s="102"/>
      <c r="L19" s="102"/>
      <c r="M19" s="108">
        <f t="shared" ref="M19:M60" si="0">M18+1</f>
        <v>3</v>
      </c>
    </row>
    <row r="20" spans="1:13">
      <c r="A20" s="87" t="str">
        <f>IF(LOOKUP(M20,PPTO!$J$8:$J$269,PPTO!A$8:A$269)=0," ",LOOKUP(M20,PPTO!$J$8:$J$269,PPTO!A$8:A$269))</f>
        <v>1.02</v>
      </c>
      <c r="B20" s="91" t="str">
        <f>IF(LOOKUP(M20,PPTO!$J$8:J$269,PPTO!B$8:B$269)=0," ",LOOKUP(M20,PPTO!$J$8:J$269,PPTO!B$8:B$269))</f>
        <v xml:space="preserve"> </v>
      </c>
      <c r="C20" s="89" t="str">
        <f>IF(LOOKUP(M20,PPTO!$J$8:$J$269,PPTO!D$8:D$269)=0," ",LOOKUP(M20,PPTO!$J$8:$J$269,PPTO!D$8:D$269))</f>
        <v>ML</v>
      </c>
      <c r="D20" s="90" t="str">
        <f>IF(LOOKUP(M20,PPTO!$J$8:$J$269,PPTO!E$8:E$269)=0," ",LOOKUP(M20,PPTO!$J$8:$J$269,PPTO!E$8:E$269))</f>
        <v xml:space="preserve"> </v>
      </c>
      <c r="E20" s="90" t="str">
        <f>IF(LOOKUP(M20,PPTO!$J$8:$J$269,PPTO!F$8:F$269)=0," ",LOOKUP(M20,PPTO!$J$8:$J$269,PPTO!F$8:F$269))</f>
        <v xml:space="preserve"> </v>
      </c>
      <c r="F20" s="90" t="str">
        <f>IF(LOOKUP(M20,PPTO!$J$8:$J$269,PPTO!H$8:H$269)=0," ",LOOKUP(M20,PPTO!$J$8:$J$269,PPTO!H$8:H$269))</f>
        <v xml:space="preserve"> </v>
      </c>
      <c r="G20" s="178">
        <v>15000</v>
      </c>
      <c r="H20" s="102" t="e">
        <f>ROUND(G20*E20,0)</f>
        <v>#VALUE!</v>
      </c>
      <c r="I20" s="174">
        <v>0</v>
      </c>
      <c r="J20" s="102" t="e">
        <f>ROUND(I20*E20,0)</f>
        <v>#VALUE!</v>
      </c>
      <c r="K20" s="102" t="e">
        <f>I20+'ACTA PARCIAL No.6'!K20</f>
        <v>#REF!</v>
      </c>
      <c r="L20" s="102" t="e">
        <f>ROUND(K20*E20,0)</f>
        <v>#REF!</v>
      </c>
      <c r="M20" s="108">
        <f t="shared" si="0"/>
        <v>4</v>
      </c>
    </row>
    <row r="21" spans="1:13">
      <c r="A21" s="87">
        <f>IF(LOOKUP(M21,PPTO!$J$8:$J$269,PPTO!A$8:A$269)=0," ",LOOKUP(M21,PPTO!$J$8:$J$269,PPTO!A$8:A$269))</f>
        <v>2</v>
      </c>
      <c r="B21" s="91" t="str">
        <f>IF(LOOKUP(M21,PPTO!$J$8:J$269,PPTO!B$8:B$269)=0," ",LOOKUP(M21,PPTO!$J$8:J$269,PPTO!B$8:B$269))</f>
        <v>DEMOLICION Y ROTURAS</v>
      </c>
      <c r="C21" s="89" t="str">
        <f>IF(LOOKUP(M21,PPTO!$J$8:$J$269,PPTO!D$8:D$269)=0," ",LOOKUP(M21,PPTO!$J$8:$J$269,PPTO!D$8:D$269))</f>
        <v xml:space="preserve"> </v>
      </c>
      <c r="D21" s="90" t="str">
        <f>IF(LOOKUP(M21,PPTO!$J$8:$J$269,PPTO!E$8:E$269)=0," ",LOOKUP(M21,PPTO!$J$8:$J$269,PPTO!E$8:E$269))</f>
        <v xml:space="preserve"> </v>
      </c>
      <c r="E21" s="90" t="str">
        <f>IF(LOOKUP(M21,PPTO!$J$8:$J$269,PPTO!F$8:F$269)=0," ",LOOKUP(M21,PPTO!$J$8:$J$269,PPTO!F$8:F$269))</f>
        <v xml:space="preserve"> </v>
      </c>
      <c r="F21" s="90" t="str">
        <f>IF(LOOKUP(M21,PPTO!$J$8:$J$269,PPTO!H$8:H$269)=0," ",LOOKUP(M21,PPTO!$J$8:$J$269,PPTO!H$8:H$269))</f>
        <v xml:space="preserve"> </v>
      </c>
      <c r="G21" s="178"/>
      <c r="H21" s="102"/>
      <c r="I21" s="174"/>
      <c r="J21" s="102"/>
      <c r="K21" s="102"/>
      <c r="L21" s="102"/>
      <c r="M21" s="108">
        <f t="shared" si="0"/>
        <v>5</v>
      </c>
    </row>
    <row r="22" spans="1:13">
      <c r="A22" s="87" t="str">
        <f>IF(LOOKUP(M22,PPTO!$J$8:$J$269,PPTO!A$8:A$269)=0," ",LOOKUP(M22,PPTO!$J$8:$J$269,PPTO!A$8:A$269))</f>
        <v>2.01</v>
      </c>
      <c r="B22" s="91" t="str">
        <f>IF(LOOKUP(M22,PPTO!$J$8:J$269,PPTO!B$8:B$269)=0," ",LOOKUP(M22,PPTO!$J$8:J$269,PPTO!B$8:B$269))</f>
        <v xml:space="preserve"> </v>
      </c>
      <c r="C22" s="89" t="str">
        <f>IF(LOOKUP(M22,PPTO!$J$8:$J$269,PPTO!D$8:D$269)=0," ",LOOKUP(M22,PPTO!$J$8:$J$269,PPTO!D$8:D$269))</f>
        <v>ML</v>
      </c>
      <c r="D22" s="90" t="str">
        <f>IF(LOOKUP(M22,PPTO!$J$8:$J$269,PPTO!E$8:E$269)=0," ",LOOKUP(M22,PPTO!$J$8:$J$269,PPTO!E$8:E$269))</f>
        <v xml:space="preserve"> </v>
      </c>
      <c r="E22" s="90" t="str">
        <f>IF(LOOKUP(M22,PPTO!$J$8:$J$269,PPTO!F$8:F$269)=0," ",LOOKUP(M22,PPTO!$J$8:$J$269,PPTO!F$8:F$269))</f>
        <v xml:space="preserve"> </v>
      </c>
      <c r="F22" s="90" t="str">
        <f>IF(LOOKUP(M22,PPTO!$J$8:$J$269,PPTO!H$8:H$269)=0," ",LOOKUP(M22,PPTO!$J$8:$J$269,PPTO!H$8:H$269))</f>
        <v xml:space="preserve"> </v>
      </c>
      <c r="G22" s="178">
        <v>14696</v>
      </c>
      <c r="H22" s="102" t="e">
        <f t="shared" ref="H22:H60" si="1">ROUND(G22*E22,0)</f>
        <v>#VALUE!</v>
      </c>
      <c r="I22" s="174">
        <v>0</v>
      </c>
      <c r="J22" s="102" t="e">
        <f t="shared" ref="J22:J60" si="2">ROUND(I22*E22,0)</f>
        <v>#VALUE!</v>
      </c>
      <c r="K22" s="102" t="e">
        <f>I22+'ACTA PARCIAL No.6'!K22</f>
        <v>#REF!</v>
      </c>
      <c r="L22" s="102" t="e">
        <f t="shared" ref="L22:L60" si="3">ROUND(K22*E22,0)</f>
        <v>#REF!</v>
      </c>
      <c r="M22" s="108">
        <f t="shared" si="0"/>
        <v>6</v>
      </c>
    </row>
    <row r="23" spans="1:13">
      <c r="A23" s="87" t="str">
        <f>IF(LOOKUP(M23,PPTO!$J$8:$J$269,PPTO!A$8:A$269)=0," ",LOOKUP(M23,PPTO!$J$8:$J$269,PPTO!A$8:A$269))</f>
        <v>2.02</v>
      </c>
      <c r="B23" s="91" t="str">
        <f>IF(LOOKUP(M23,PPTO!$J$8:J$269,PPTO!B$8:B$269)=0," ",LOOKUP(M23,PPTO!$J$8:J$269,PPTO!B$8:B$269))</f>
        <v xml:space="preserve"> </v>
      </c>
      <c r="C23" s="89" t="str">
        <f>IF(LOOKUP(M23,PPTO!$J$8:$J$269,PPTO!D$8:D$269)=0," ",LOOKUP(M23,PPTO!$J$8:$J$269,PPTO!D$8:D$269))</f>
        <v>M2</v>
      </c>
      <c r="D23" s="90" t="str">
        <f>IF(LOOKUP(M23,PPTO!$J$8:$J$269,PPTO!E$8:E$269)=0," ",LOOKUP(M23,PPTO!$J$8:$J$269,PPTO!E$8:E$269))</f>
        <v xml:space="preserve"> </v>
      </c>
      <c r="E23" s="90" t="str">
        <f>IF(LOOKUP(M23,PPTO!$J$8:$J$269,PPTO!F$8:F$269)=0," ",LOOKUP(M23,PPTO!$J$8:$J$269,PPTO!F$8:F$269))</f>
        <v xml:space="preserve"> </v>
      </c>
      <c r="F23" s="90" t="str">
        <f>IF(LOOKUP(M23,PPTO!$J$8:$J$269,PPTO!H$8:H$269)=0," ",LOOKUP(M23,PPTO!$J$8:$J$269,PPTO!H$8:H$269))</f>
        <v xml:space="preserve"> </v>
      </c>
      <c r="G23" s="178">
        <v>4134</v>
      </c>
      <c r="H23" s="102" t="e">
        <f t="shared" si="1"/>
        <v>#VALUE!</v>
      </c>
      <c r="I23" s="174">
        <v>0</v>
      </c>
      <c r="J23" s="102" t="e">
        <f t="shared" si="2"/>
        <v>#VALUE!</v>
      </c>
      <c r="K23" s="102" t="e">
        <f>I23+'ACTA PARCIAL No.6'!K23</f>
        <v>#REF!</v>
      </c>
      <c r="L23" s="102" t="e">
        <f t="shared" si="3"/>
        <v>#REF!</v>
      </c>
      <c r="M23" s="108">
        <f t="shared" si="0"/>
        <v>7</v>
      </c>
    </row>
    <row r="24" spans="1:13">
      <c r="A24" s="87" t="str">
        <f>IF(LOOKUP(M24,PPTO!$J$8:$J$269,PPTO!A$8:A$269)=0," ",LOOKUP(M24,PPTO!$J$8:$J$269,PPTO!A$8:A$269))</f>
        <v>2.03</v>
      </c>
      <c r="B24" s="91" t="str">
        <f>IF(LOOKUP(M24,PPTO!$J$8:J$269,PPTO!B$8:B$269)=0," ",LOOKUP(M24,PPTO!$J$8:J$269,PPTO!B$8:B$269))</f>
        <v xml:space="preserve"> </v>
      </c>
      <c r="C24" s="89" t="str">
        <f>IF(LOOKUP(M24,PPTO!$J$8:$J$269,PPTO!D$8:D$269)=0," ",LOOKUP(M24,PPTO!$J$8:$J$269,PPTO!D$8:D$269))</f>
        <v>M2</v>
      </c>
      <c r="D24" s="90" t="str">
        <f>IF(LOOKUP(M24,PPTO!$J$8:$J$269,PPTO!E$8:E$269)=0," ",LOOKUP(M24,PPTO!$J$8:$J$269,PPTO!E$8:E$269))</f>
        <v xml:space="preserve"> </v>
      </c>
      <c r="E24" s="90" t="str">
        <f>IF(LOOKUP(M24,PPTO!$J$8:$J$269,PPTO!F$8:F$269)=0," ",LOOKUP(M24,PPTO!$J$8:$J$269,PPTO!F$8:F$269))</f>
        <v xml:space="preserve"> </v>
      </c>
      <c r="F24" s="90" t="str">
        <f>IF(LOOKUP(M24,PPTO!$J$8:$J$269,PPTO!H$8:H$269)=0," ",LOOKUP(M24,PPTO!$J$8:$J$269,PPTO!H$8:H$269))</f>
        <v xml:space="preserve"> </v>
      </c>
      <c r="G24" s="178">
        <v>14696</v>
      </c>
      <c r="H24" s="102" t="e">
        <f t="shared" si="1"/>
        <v>#VALUE!</v>
      </c>
      <c r="I24" s="174">
        <v>0</v>
      </c>
      <c r="J24" s="102" t="e">
        <f t="shared" si="2"/>
        <v>#VALUE!</v>
      </c>
      <c r="K24" s="102" t="e">
        <f>I24+'ACTA PARCIAL No.6'!K24</f>
        <v>#REF!</v>
      </c>
      <c r="L24" s="102" t="e">
        <f t="shared" si="3"/>
        <v>#REF!</v>
      </c>
      <c r="M24" s="108">
        <f t="shared" si="0"/>
        <v>8</v>
      </c>
    </row>
    <row r="25" spans="1:13">
      <c r="A25" s="87" t="str">
        <f>IF(LOOKUP(M25,PPTO!$J$8:$J$269,PPTO!A$8:A$269)=0," ",LOOKUP(M25,PPTO!$J$8:$J$269,PPTO!A$8:A$269))</f>
        <v>2.04</v>
      </c>
      <c r="B25" s="91" t="str">
        <f>IF(LOOKUP(M25,PPTO!$J$8:J$269,PPTO!B$8:B$269)=0," ",LOOKUP(M25,PPTO!$J$8:J$269,PPTO!B$8:B$269))</f>
        <v xml:space="preserve"> </v>
      </c>
      <c r="C25" s="89" t="str">
        <f>IF(LOOKUP(M25,PPTO!$J$8:$J$269,PPTO!D$8:D$269)=0," ",LOOKUP(M25,PPTO!$J$8:$J$269,PPTO!D$8:D$269))</f>
        <v>UND</v>
      </c>
      <c r="D25" s="90" t="str">
        <f>IF(LOOKUP(M25,PPTO!$J$8:$J$269,PPTO!E$8:E$269)=0," ",LOOKUP(M25,PPTO!$J$8:$J$269,PPTO!E$8:E$269))</f>
        <v xml:space="preserve"> </v>
      </c>
      <c r="E25" s="90" t="str">
        <f>IF(LOOKUP(M25,PPTO!$J$8:$J$269,PPTO!F$8:F$269)=0," ",LOOKUP(M25,PPTO!$J$8:$J$269,PPTO!F$8:F$269))</f>
        <v xml:space="preserve"> </v>
      </c>
      <c r="F25" s="90" t="str">
        <f>IF(LOOKUP(M25,PPTO!$J$8:$J$269,PPTO!H$8:H$269)=0," ",LOOKUP(M25,PPTO!$J$8:$J$269,PPTO!H$8:H$269))</f>
        <v xml:space="preserve"> </v>
      </c>
      <c r="G25" s="178">
        <v>200</v>
      </c>
      <c r="H25" s="102" t="e">
        <f t="shared" si="1"/>
        <v>#VALUE!</v>
      </c>
      <c r="I25" s="174">
        <v>0</v>
      </c>
      <c r="J25" s="102" t="e">
        <f t="shared" si="2"/>
        <v>#VALUE!</v>
      </c>
      <c r="K25" s="102" t="e">
        <f>I25+'ACTA PARCIAL No.6'!K25</f>
        <v>#REF!</v>
      </c>
      <c r="L25" s="102" t="e">
        <f t="shared" si="3"/>
        <v>#REF!</v>
      </c>
      <c r="M25" s="108">
        <f t="shared" si="0"/>
        <v>9</v>
      </c>
    </row>
    <row r="26" spans="1:13">
      <c r="A26" s="87">
        <f>IF(LOOKUP(M26,PPTO!$J$8:$J$269,PPTO!A$8:A$269)=0," ",LOOKUP(M26,PPTO!$J$8:$J$269,PPTO!A$8:A$269))</f>
        <v>3</v>
      </c>
      <c r="B26" s="91" t="str">
        <f>IF(LOOKUP(M26,PPTO!$J$8:J$269,PPTO!B$8:B$269)=0," ",LOOKUP(M26,PPTO!$J$8:J$269,PPTO!B$8:B$269))</f>
        <v>MOVIMIENTOS DE TIERRA</v>
      </c>
      <c r="C26" s="89" t="str">
        <f>IF(LOOKUP(M26,PPTO!$J$8:$J$269,PPTO!D$8:D$269)=0," ",LOOKUP(M26,PPTO!$J$8:$J$269,PPTO!D$8:D$269))</f>
        <v xml:space="preserve"> </v>
      </c>
      <c r="D26" s="90" t="str">
        <f>IF(LOOKUP(M26,PPTO!$J$8:$J$269,PPTO!E$8:E$269)=0," ",LOOKUP(M26,PPTO!$J$8:$J$269,PPTO!E$8:E$269))</f>
        <v xml:space="preserve"> </v>
      </c>
      <c r="E26" s="90" t="str">
        <f>IF(LOOKUP(M26,PPTO!$J$8:$J$269,PPTO!F$8:F$269)=0," ",LOOKUP(M26,PPTO!$J$8:$J$269,PPTO!F$8:F$269))</f>
        <v xml:space="preserve"> </v>
      </c>
      <c r="F26" s="90" t="str">
        <f>IF(LOOKUP(M26,PPTO!$J$8:$J$269,PPTO!H$8:H$269)=0," ",LOOKUP(M26,PPTO!$J$8:$J$269,PPTO!H$8:H$269))</f>
        <v xml:space="preserve"> </v>
      </c>
      <c r="G26" s="178"/>
      <c r="H26" s="102"/>
      <c r="I26" s="174"/>
      <c r="J26" s="102"/>
      <c r="K26" s="102"/>
      <c r="L26" s="102"/>
      <c r="M26" s="108">
        <f t="shared" si="0"/>
        <v>10</v>
      </c>
    </row>
    <row r="27" spans="1:13">
      <c r="A27" s="87" t="str">
        <f>IF(LOOKUP(M27,PPTO!$J$8:$J$269,PPTO!A$8:A$269)=0," ",LOOKUP(M27,PPTO!$J$8:$J$269,PPTO!A$8:A$269))</f>
        <v>3.01</v>
      </c>
      <c r="B27" s="91" t="str">
        <f>IF(LOOKUP(M27,PPTO!$J$8:J$269,PPTO!B$8:B$269)=0," ",LOOKUP(M27,PPTO!$J$8:J$269,PPTO!B$8:B$269))</f>
        <v xml:space="preserve"> </v>
      </c>
      <c r="C27" s="89" t="str">
        <f>IF(LOOKUP(M27,PPTO!$J$8:$J$269,PPTO!D$8:D$269)=0," ",LOOKUP(M27,PPTO!$J$8:$J$269,PPTO!D$8:D$269))</f>
        <v>M3</v>
      </c>
      <c r="D27" s="90" t="str">
        <f>IF(LOOKUP(M27,PPTO!$J$8:$J$269,PPTO!E$8:E$269)=0," ",LOOKUP(M27,PPTO!$J$8:$J$269,PPTO!E$8:E$269))</f>
        <v xml:space="preserve"> </v>
      </c>
      <c r="E27" s="90" t="str">
        <f>IF(LOOKUP(M27,PPTO!$J$8:$J$269,PPTO!F$8:F$269)=0," ",LOOKUP(M27,PPTO!$J$8:$J$269,PPTO!F$8:F$269))</f>
        <v xml:space="preserve"> </v>
      </c>
      <c r="F27" s="90" t="str">
        <f>IF(LOOKUP(M27,PPTO!$J$8:$J$269,PPTO!H$8:H$269)=0," ",LOOKUP(M27,PPTO!$J$8:$J$269,PPTO!H$8:H$269))</f>
        <v xml:space="preserve"> </v>
      </c>
      <c r="G27" s="178">
        <v>243</v>
      </c>
      <c r="H27" s="102" t="e">
        <f t="shared" si="1"/>
        <v>#VALUE!</v>
      </c>
      <c r="I27" s="174">
        <v>0</v>
      </c>
      <c r="J27" s="102" t="e">
        <f t="shared" si="2"/>
        <v>#VALUE!</v>
      </c>
      <c r="K27" s="102" t="e">
        <f>I27+'ACTA PARCIAL No.6'!K27</f>
        <v>#REF!</v>
      </c>
      <c r="L27" s="102" t="e">
        <f t="shared" si="3"/>
        <v>#REF!</v>
      </c>
      <c r="M27" s="108">
        <f t="shared" si="0"/>
        <v>11</v>
      </c>
    </row>
    <row r="28" spans="1:13">
      <c r="A28" s="87" t="str">
        <f>IF(LOOKUP(M28,PPTO!$J$8:$J$269,PPTO!A$8:A$269)=0," ",LOOKUP(M28,PPTO!$J$8:$J$269,PPTO!A$8:A$269))</f>
        <v>3.02</v>
      </c>
      <c r="B28" s="91" t="str">
        <f>IF(LOOKUP(M28,PPTO!$J$8:J$269,PPTO!B$8:B$269)=0," ",LOOKUP(M28,PPTO!$J$8:J$269,PPTO!B$8:B$269))</f>
        <v xml:space="preserve"> </v>
      </c>
      <c r="C28" s="89" t="str">
        <f>IF(LOOKUP(M28,PPTO!$J$8:$J$269,PPTO!D$8:D$269)=0," ",LOOKUP(M28,PPTO!$J$8:$J$269,PPTO!D$8:D$269))</f>
        <v>M3</v>
      </c>
      <c r="D28" s="90" t="str">
        <f>IF(LOOKUP(M28,PPTO!$J$8:$J$269,PPTO!E$8:E$269)=0," ",LOOKUP(M28,PPTO!$J$8:$J$269,PPTO!E$8:E$269))</f>
        <v xml:space="preserve"> </v>
      </c>
      <c r="E28" s="90" t="str">
        <f>IF(LOOKUP(M28,PPTO!$J$8:$J$269,PPTO!F$8:F$269)=0," ",LOOKUP(M28,PPTO!$J$8:$J$269,PPTO!F$8:F$269))</f>
        <v xml:space="preserve"> </v>
      </c>
      <c r="F28" s="90" t="str">
        <f>IF(LOOKUP(M28,PPTO!$J$8:$J$269,PPTO!H$8:H$269)=0," ",LOOKUP(M28,PPTO!$J$8:$J$269,PPTO!H$8:H$269))</f>
        <v xml:space="preserve"> </v>
      </c>
      <c r="G28" s="178">
        <v>2018.33</v>
      </c>
      <c r="H28" s="102" t="e">
        <f t="shared" si="1"/>
        <v>#VALUE!</v>
      </c>
      <c r="I28" s="174">
        <v>0</v>
      </c>
      <c r="J28" s="102" t="e">
        <f t="shared" si="2"/>
        <v>#VALUE!</v>
      </c>
      <c r="K28" s="102" t="e">
        <f>I28+'ACTA PARCIAL No.6'!K28</f>
        <v>#REF!</v>
      </c>
      <c r="L28" s="102" t="e">
        <f t="shared" si="3"/>
        <v>#REF!</v>
      </c>
      <c r="M28" s="108">
        <f>M27+1</f>
        <v>12</v>
      </c>
    </row>
    <row r="29" spans="1:13">
      <c r="A29" s="87" t="str">
        <f>IF(LOOKUP(M29,PPTO!$J$8:$J$269,PPTO!A$8:A$269)=0," ",LOOKUP(M29,PPTO!$J$8:$J$269,PPTO!A$8:A$269))</f>
        <v>3.03</v>
      </c>
      <c r="B29" s="91" t="str">
        <f>IF(LOOKUP(M29,PPTO!$J$8:J$269,PPTO!B$8:B$269)=0," ",LOOKUP(M29,PPTO!$J$8:J$269,PPTO!B$8:B$269))</f>
        <v xml:space="preserve"> </v>
      </c>
      <c r="C29" s="89" t="str">
        <f>IF(LOOKUP(M29,PPTO!$J$8:$J$269,PPTO!D$8:D$269)=0," ",LOOKUP(M29,PPTO!$J$8:$J$269,PPTO!D$8:D$269))</f>
        <v>M3</v>
      </c>
      <c r="D29" s="90" t="str">
        <f>IF(LOOKUP(M29,PPTO!$J$8:$J$269,PPTO!E$8:E$269)=0," ",LOOKUP(M29,PPTO!$J$8:$J$269,PPTO!E$8:E$269))</f>
        <v xml:space="preserve"> </v>
      </c>
      <c r="E29" s="90" t="str">
        <f>IF(LOOKUP(M29,PPTO!$J$8:$J$269,PPTO!F$8:F$269)=0," ",LOOKUP(M29,PPTO!$J$8:$J$269,PPTO!F$8:F$269))</f>
        <v xml:space="preserve"> </v>
      </c>
      <c r="F29" s="90" t="str">
        <f>IF(LOOKUP(M29,PPTO!$J$8:$J$269,PPTO!H$8:H$269)=0," ",LOOKUP(M29,PPTO!$J$8:$J$269,PPTO!H$8:H$269))</f>
        <v xml:space="preserve"> </v>
      </c>
      <c r="G29" s="178">
        <v>1587.38</v>
      </c>
      <c r="H29" s="102" t="e">
        <f t="shared" si="1"/>
        <v>#VALUE!</v>
      </c>
      <c r="I29" s="174">
        <v>0</v>
      </c>
      <c r="J29" s="102" t="e">
        <f t="shared" si="2"/>
        <v>#VALUE!</v>
      </c>
      <c r="K29" s="102" t="e">
        <f>I29+'ACTA PARCIAL No.6'!K29</f>
        <v>#REF!</v>
      </c>
      <c r="L29" s="102" t="e">
        <f t="shared" si="3"/>
        <v>#REF!</v>
      </c>
      <c r="M29" s="108">
        <f>M28+1</f>
        <v>13</v>
      </c>
    </row>
    <row r="30" spans="1:13">
      <c r="A30" s="87" t="str">
        <f>IF(LOOKUP(M30,PPTO!$J$8:$J$269,PPTO!A$8:A$269)=0," ",LOOKUP(M30,PPTO!$J$8:$J$269,PPTO!A$8:A$269))</f>
        <v>3.04</v>
      </c>
      <c r="B30" s="91" t="str">
        <f>IF(LOOKUP(M30,PPTO!$J$8:J$269,PPTO!B$8:B$269)=0," ",LOOKUP(M30,PPTO!$J$8:J$269,PPTO!B$8:B$269))</f>
        <v xml:space="preserve"> </v>
      </c>
      <c r="C30" s="89" t="str">
        <f>IF(LOOKUP(M30,PPTO!$J$8:$J$269,PPTO!D$8:D$269)=0," ",LOOKUP(M30,PPTO!$J$8:$J$269,PPTO!D$8:D$269))</f>
        <v>M3</v>
      </c>
      <c r="D30" s="90" t="str">
        <f>IF(LOOKUP(M30,PPTO!$J$8:$J$269,PPTO!E$8:E$269)=0," ",LOOKUP(M30,PPTO!$J$8:$J$269,PPTO!E$8:E$269))</f>
        <v xml:space="preserve"> </v>
      </c>
      <c r="E30" s="90" t="str">
        <f>IF(LOOKUP(M30,PPTO!$J$8:$J$269,PPTO!F$8:F$269)=0," ",LOOKUP(M30,PPTO!$J$8:$J$269,PPTO!F$8:F$269))</f>
        <v xml:space="preserve"> </v>
      </c>
      <c r="F30" s="90" t="str">
        <f>IF(LOOKUP(M30,PPTO!$J$8:$J$269,PPTO!H$8:H$269)=0," ",LOOKUP(M30,PPTO!$J$8:$J$269,PPTO!H$8:H$269))</f>
        <v xml:space="preserve"> </v>
      </c>
      <c r="G30" s="178">
        <v>21041</v>
      </c>
      <c r="H30" s="102" t="e">
        <f t="shared" si="1"/>
        <v>#VALUE!</v>
      </c>
      <c r="I30" s="174">
        <v>0</v>
      </c>
      <c r="J30" s="102" t="e">
        <f t="shared" si="2"/>
        <v>#VALUE!</v>
      </c>
      <c r="K30" s="102" t="e">
        <f>I30+'ACTA PARCIAL No.6'!K30</f>
        <v>#REF!</v>
      </c>
      <c r="L30" s="102" t="e">
        <f t="shared" si="3"/>
        <v>#REF!</v>
      </c>
      <c r="M30" s="108">
        <f t="shared" si="0"/>
        <v>14</v>
      </c>
    </row>
    <row r="31" spans="1:13">
      <c r="A31" s="87" t="str">
        <f>IF(LOOKUP(M31,PPTO!$J$8:$J$269,PPTO!A$8:A$269)=0," ",LOOKUP(M31,PPTO!$J$8:$J$269,PPTO!A$8:A$269))</f>
        <v>3.05</v>
      </c>
      <c r="B31" s="91" t="str">
        <f>IF(LOOKUP(M31,PPTO!$J$8:J$269,PPTO!B$8:B$269)=0," ",LOOKUP(M31,PPTO!$J$8:J$269,PPTO!B$8:B$269))</f>
        <v xml:space="preserve"> </v>
      </c>
      <c r="C31" s="89" t="str">
        <f>IF(LOOKUP(M31,PPTO!$J$8:$J$269,PPTO!D$8:D$269)=0," ",LOOKUP(M31,PPTO!$J$8:$J$269,PPTO!D$8:D$269))</f>
        <v>M3</v>
      </c>
      <c r="D31" s="90" t="str">
        <f>IF(LOOKUP(M31,PPTO!$J$8:$J$269,PPTO!E$8:E$269)=0," ",LOOKUP(M31,PPTO!$J$8:$J$269,PPTO!E$8:E$269))</f>
        <v xml:space="preserve"> </v>
      </c>
      <c r="E31" s="90" t="str">
        <f>IF(LOOKUP(M31,PPTO!$J$8:$J$269,PPTO!F$8:F$269)=0," ",LOOKUP(M31,PPTO!$J$8:$J$269,PPTO!F$8:F$269))</f>
        <v xml:space="preserve"> </v>
      </c>
      <c r="F31" s="90" t="str">
        <f>IF(LOOKUP(M31,PPTO!$J$8:$J$269,PPTO!H$8:H$269)=0," ",LOOKUP(M31,PPTO!$J$8:$J$269,PPTO!H$8:H$269))</f>
        <v xml:space="preserve"> </v>
      </c>
      <c r="G31" s="178">
        <v>936.85</v>
      </c>
      <c r="H31" s="102" t="e">
        <f t="shared" si="1"/>
        <v>#VALUE!</v>
      </c>
      <c r="I31" s="174">
        <v>0</v>
      </c>
      <c r="J31" s="102" t="e">
        <f t="shared" si="2"/>
        <v>#VALUE!</v>
      </c>
      <c r="K31" s="102" t="e">
        <f>I31+'ACTA PARCIAL No.6'!K31</f>
        <v>#REF!</v>
      </c>
      <c r="L31" s="102" t="e">
        <f t="shared" si="3"/>
        <v>#REF!</v>
      </c>
      <c r="M31" s="108">
        <f t="shared" si="0"/>
        <v>15</v>
      </c>
    </row>
    <row r="32" spans="1:13">
      <c r="A32" s="87" t="str">
        <f>IF(LOOKUP(M32,PPTO!$J$8:$J$269,PPTO!A$8:A$269)=0," ",LOOKUP(M32,PPTO!$J$8:$J$269,PPTO!A$8:A$269))</f>
        <v>3.06</v>
      </c>
      <c r="B32" s="91" t="str">
        <f>IF(LOOKUP(M32,PPTO!$J$8:J$269,PPTO!B$8:B$269)=0," ",LOOKUP(M32,PPTO!$J$8:J$269,PPTO!B$8:B$269))</f>
        <v xml:space="preserve"> </v>
      </c>
      <c r="C32" s="89" t="str">
        <f>IF(LOOKUP(M32,PPTO!$J$8:$J$269,PPTO!D$8:D$269)=0," ",LOOKUP(M32,PPTO!$J$8:$J$269,PPTO!D$8:D$269))</f>
        <v>M3</v>
      </c>
      <c r="D32" s="90" t="str">
        <f>IF(LOOKUP(M32,PPTO!$J$8:$J$269,PPTO!E$8:E$269)=0," ",LOOKUP(M32,PPTO!$J$8:$J$269,PPTO!E$8:E$269))</f>
        <v xml:space="preserve"> </v>
      </c>
      <c r="E32" s="90" t="str">
        <f>IF(LOOKUP(M32,PPTO!$J$8:$J$269,PPTO!F$8:F$269)=0," ",LOOKUP(M32,PPTO!$J$8:$J$269,PPTO!F$8:F$269))</f>
        <v xml:space="preserve"> </v>
      </c>
      <c r="F32" s="90" t="str">
        <f>IF(LOOKUP(M32,PPTO!$J$8:$J$269,PPTO!H$8:H$269)=0," ",LOOKUP(M32,PPTO!$J$8:$J$269,PPTO!H$8:H$269))</f>
        <v xml:space="preserve"> </v>
      </c>
      <c r="G32" s="178">
        <v>2018.33</v>
      </c>
      <c r="H32" s="102" t="e">
        <f t="shared" si="1"/>
        <v>#VALUE!</v>
      </c>
      <c r="I32" s="174">
        <v>0</v>
      </c>
      <c r="J32" s="102" t="e">
        <f t="shared" si="2"/>
        <v>#VALUE!</v>
      </c>
      <c r="K32" s="102" t="e">
        <f>I32+'ACTA PARCIAL No.6'!K32</f>
        <v>#REF!</v>
      </c>
      <c r="L32" s="102" t="e">
        <f t="shared" si="3"/>
        <v>#REF!</v>
      </c>
      <c r="M32" s="108">
        <f t="shared" si="0"/>
        <v>16</v>
      </c>
    </row>
    <row r="33" spans="1:13">
      <c r="A33" s="87" t="str">
        <f>IF(LOOKUP(M33,PPTO!$J$8:$J$269,PPTO!A$8:A$269)=0," ",LOOKUP(M33,PPTO!$J$8:$J$269,PPTO!A$8:A$269))</f>
        <v>3.07</v>
      </c>
      <c r="B33" s="91" t="str">
        <f>IF(LOOKUP(M33,PPTO!$J$8:J$269,PPTO!B$8:B$269)=0," ",LOOKUP(M33,PPTO!$J$8:J$269,PPTO!B$8:B$269))</f>
        <v xml:space="preserve"> </v>
      </c>
      <c r="C33" s="89" t="str">
        <f>IF(LOOKUP(M33,PPTO!$J$8:$J$269,PPTO!D$8:D$269)=0," ",LOOKUP(M33,PPTO!$J$8:$J$269,PPTO!D$8:D$269))</f>
        <v>M3</v>
      </c>
      <c r="D33" s="90" t="str">
        <f>IF(LOOKUP(M33,PPTO!$J$8:$J$269,PPTO!E$8:E$269)=0," ",LOOKUP(M33,PPTO!$J$8:$J$269,PPTO!E$8:E$269))</f>
        <v xml:space="preserve"> </v>
      </c>
      <c r="E33" s="90" t="str">
        <f>IF(LOOKUP(M33,PPTO!$J$8:$J$269,PPTO!F$8:F$269)=0," ",LOOKUP(M33,PPTO!$J$8:$J$269,PPTO!F$8:F$269))</f>
        <v xml:space="preserve"> </v>
      </c>
      <c r="F33" s="90" t="str">
        <f>IF(LOOKUP(M33,PPTO!$J$8:$J$269,PPTO!H$8:H$269)=0," ",LOOKUP(M33,PPTO!$J$8:$J$269,PPTO!H$8:H$269))</f>
        <v xml:space="preserve"> </v>
      </c>
      <c r="G33" s="178">
        <v>1587.38</v>
      </c>
      <c r="H33" s="102" t="e">
        <f t="shared" si="1"/>
        <v>#VALUE!</v>
      </c>
      <c r="I33" s="174">
        <v>0</v>
      </c>
      <c r="J33" s="102" t="e">
        <f t="shared" si="2"/>
        <v>#VALUE!</v>
      </c>
      <c r="K33" s="102" t="e">
        <f>I33+'ACTA PARCIAL No.6'!K33</f>
        <v>#REF!</v>
      </c>
      <c r="L33" s="102" t="e">
        <f t="shared" si="3"/>
        <v>#REF!</v>
      </c>
      <c r="M33" s="108">
        <f t="shared" si="0"/>
        <v>17</v>
      </c>
    </row>
    <row r="34" spans="1:13">
      <c r="A34" s="87" t="str">
        <f>IF(LOOKUP(M34,PPTO!$J$8:$J$269,PPTO!A$8:A$269)=0," ",LOOKUP(M34,PPTO!$J$8:$J$269,PPTO!A$8:A$269))</f>
        <v>3.08</v>
      </c>
      <c r="B34" s="91" t="str">
        <f>IF(LOOKUP(M34,PPTO!$J$8:J$269,PPTO!B$8:B$269)=0," ",LOOKUP(M34,PPTO!$J$8:J$269,PPTO!B$8:B$269))</f>
        <v xml:space="preserve"> </v>
      </c>
      <c r="C34" s="89" t="str">
        <f>IF(LOOKUP(M34,PPTO!$J$8:$J$269,PPTO!D$8:D$269)=0," ",LOOKUP(M34,PPTO!$J$8:$J$269,PPTO!D$8:D$269))</f>
        <v>M2</v>
      </c>
      <c r="D34" s="90" t="str">
        <f>IF(LOOKUP(M34,PPTO!$J$8:$J$269,PPTO!E$8:E$269)=0," ",LOOKUP(M34,PPTO!$J$8:$J$269,PPTO!E$8:E$269))</f>
        <v xml:space="preserve"> </v>
      </c>
      <c r="E34" s="90" t="str">
        <f>IF(LOOKUP(M34,PPTO!$J$8:$J$269,PPTO!F$8:F$269)=0," ",LOOKUP(M34,PPTO!$J$8:$J$269,PPTO!F$8:F$269))</f>
        <v xml:space="preserve"> </v>
      </c>
      <c r="F34" s="90" t="str">
        <f>IF(LOOKUP(M34,PPTO!$J$8:$J$269,PPTO!H$8:H$269)=0," ",LOOKUP(M34,PPTO!$J$8:$J$269,PPTO!H$8:H$269))</f>
        <v xml:space="preserve"> </v>
      </c>
      <c r="G34" s="178">
        <v>10500</v>
      </c>
      <c r="H34" s="102" t="e">
        <f t="shared" si="1"/>
        <v>#VALUE!</v>
      </c>
      <c r="I34" s="174">
        <v>0</v>
      </c>
      <c r="J34" s="102" t="e">
        <f t="shared" si="2"/>
        <v>#VALUE!</v>
      </c>
      <c r="K34" s="102" t="e">
        <f>I34+'ACTA PARCIAL No.6'!K34</f>
        <v>#REF!</v>
      </c>
      <c r="L34" s="102" t="e">
        <f t="shared" si="3"/>
        <v>#REF!</v>
      </c>
      <c r="M34" s="108">
        <f t="shared" si="0"/>
        <v>18</v>
      </c>
    </row>
    <row r="35" spans="1:13">
      <c r="A35" s="87" t="str">
        <f>IF(LOOKUP(M35,PPTO!$J$8:$J$269,PPTO!A$8:A$269)=0," ",LOOKUP(M35,PPTO!$J$8:$J$269,PPTO!A$8:A$269))</f>
        <v>3.09</v>
      </c>
      <c r="B35" s="91" t="str">
        <f>IF(LOOKUP(M35,PPTO!$J$8:J$269,PPTO!B$8:B$269)=0," ",LOOKUP(M35,PPTO!$J$8:J$269,PPTO!B$8:B$269))</f>
        <v xml:space="preserve"> </v>
      </c>
      <c r="C35" s="89" t="str">
        <f>IF(LOOKUP(M35,PPTO!$J$8:$J$269,PPTO!D$8:D$269)=0," ",LOOKUP(M35,PPTO!$J$8:$J$269,PPTO!D$8:D$269))</f>
        <v>UND</v>
      </c>
      <c r="D35" s="90" t="str">
        <f>IF(LOOKUP(M35,PPTO!$J$8:$J$269,PPTO!E$8:E$269)=0," ",LOOKUP(M35,PPTO!$J$8:$J$269,PPTO!E$8:E$269))</f>
        <v xml:space="preserve"> </v>
      </c>
      <c r="E35" s="90" t="str">
        <f>IF(LOOKUP(M35,PPTO!$J$8:$J$269,PPTO!F$8:F$269)=0," ",LOOKUP(M35,PPTO!$J$8:$J$269,PPTO!F$8:F$269))</f>
        <v xml:space="preserve"> </v>
      </c>
      <c r="F35" s="90" t="str">
        <f>IF(LOOKUP(M35,PPTO!$J$8:$J$269,PPTO!H$8:H$269)=0," ",LOOKUP(M35,PPTO!$J$8:$J$269,PPTO!H$8:H$269))</f>
        <v xml:space="preserve"> </v>
      </c>
      <c r="G35" s="178">
        <v>936.85</v>
      </c>
      <c r="H35" s="102" t="e">
        <f t="shared" si="1"/>
        <v>#VALUE!</v>
      </c>
      <c r="I35" s="174">
        <v>0</v>
      </c>
      <c r="J35" s="102" t="e">
        <f t="shared" si="2"/>
        <v>#VALUE!</v>
      </c>
      <c r="K35" s="102" t="e">
        <f>I35+'ACTA PARCIAL No.6'!K35</f>
        <v>#REF!</v>
      </c>
      <c r="L35" s="102" t="e">
        <f t="shared" si="3"/>
        <v>#REF!</v>
      </c>
      <c r="M35" s="108">
        <f t="shared" si="0"/>
        <v>19</v>
      </c>
    </row>
    <row r="36" spans="1:13">
      <c r="A36" s="87" t="str">
        <f>IF(LOOKUP(M36,PPTO!$J$8:$J$269,PPTO!A$8:A$269)=0," ",LOOKUP(M36,PPTO!$J$8:$J$269,PPTO!A$8:A$269))</f>
        <v>3.10</v>
      </c>
      <c r="B36" s="91" t="str">
        <f>IF(LOOKUP(M36,PPTO!$J$8:J$269,PPTO!B$8:B$269)=0," ",LOOKUP(M36,PPTO!$J$8:J$269,PPTO!B$8:B$269))</f>
        <v xml:space="preserve"> </v>
      </c>
      <c r="C36" s="89" t="str">
        <f>IF(LOOKUP(M36,PPTO!$J$8:$J$269,PPTO!D$8:D$269)=0," ",LOOKUP(M36,PPTO!$J$8:$J$269,PPTO!D$8:D$269))</f>
        <v>M3</v>
      </c>
      <c r="D36" s="90" t="str">
        <f>IF(LOOKUP(M36,PPTO!$J$8:$J$269,PPTO!E$8:E$269)=0," ",LOOKUP(M36,PPTO!$J$8:$J$269,PPTO!E$8:E$269))</f>
        <v xml:space="preserve"> </v>
      </c>
      <c r="E36" s="90" t="str">
        <f>IF(LOOKUP(M36,PPTO!$J$8:$J$269,PPTO!F$8:F$269)=0," ",LOOKUP(M36,PPTO!$J$8:$J$269,PPTO!F$8:F$269))</f>
        <v xml:space="preserve"> </v>
      </c>
      <c r="F36" s="90" t="str">
        <f>IF(LOOKUP(M36,PPTO!$J$8:$J$269,PPTO!H$8:H$269)=0," ",LOOKUP(M36,PPTO!$J$8:$J$269,PPTO!H$8:H$269))</f>
        <v xml:space="preserve"> </v>
      </c>
      <c r="G36" s="178">
        <v>2018.33</v>
      </c>
      <c r="H36" s="102" t="e">
        <f t="shared" si="1"/>
        <v>#VALUE!</v>
      </c>
      <c r="I36" s="174">
        <v>0</v>
      </c>
      <c r="J36" s="102" t="e">
        <f t="shared" si="2"/>
        <v>#VALUE!</v>
      </c>
      <c r="K36" s="102" t="e">
        <f>I36+'ACTA PARCIAL No.6'!K36</f>
        <v>#REF!</v>
      </c>
      <c r="L36" s="102" t="e">
        <f t="shared" si="3"/>
        <v>#REF!</v>
      </c>
      <c r="M36" s="108">
        <f t="shared" si="0"/>
        <v>20</v>
      </c>
    </row>
    <row r="37" spans="1:13">
      <c r="A37" s="87" t="str">
        <f>IF(LOOKUP(M37,PPTO!$J$8:$J$269,PPTO!A$8:A$269)=0," ",LOOKUP(M37,PPTO!$J$8:$J$269,PPTO!A$8:A$269))</f>
        <v>3.11</v>
      </c>
      <c r="B37" s="91" t="str">
        <f>IF(LOOKUP(M37,PPTO!$J$8:J$269,PPTO!B$8:B$269)=0," ",LOOKUP(M37,PPTO!$J$8:J$269,PPTO!B$8:B$269))</f>
        <v xml:space="preserve"> </v>
      </c>
      <c r="C37" s="89" t="str">
        <f>IF(LOOKUP(M37,PPTO!$J$8:$J$269,PPTO!D$8:D$269)=0," ",LOOKUP(M37,PPTO!$J$8:$J$269,PPTO!D$8:D$269))</f>
        <v>M3</v>
      </c>
      <c r="D37" s="90" t="str">
        <f>IF(LOOKUP(M37,PPTO!$J$8:$J$269,PPTO!E$8:E$269)=0," ",LOOKUP(M37,PPTO!$J$8:$J$269,PPTO!E$8:E$269))</f>
        <v xml:space="preserve"> </v>
      </c>
      <c r="E37" s="90" t="str">
        <f>IF(LOOKUP(M37,PPTO!$J$8:$J$269,PPTO!F$8:F$269)=0," ",LOOKUP(M37,PPTO!$J$8:$J$269,PPTO!F$8:F$269))</f>
        <v xml:space="preserve"> </v>
      </c>
      <c r="F37" s="90" t="str">
        <f>IF(LOOKUP(M37,PPTO!$J$8:$J$269,PPTO!H$8:H$269)=0," ",LOOKUP(M37,PPTO!$J$8:$J$269,PPTO!H$8:H$269))</f>
        <v xml:space="preserve"> </v>
      </c>
      <c r="G37" s="178">
        <v>18000</v>
      </c>
      <c r="H37" s="102" t="e">
        <f t="shared" si="1"/>
        <v>#VALUE!</v>
      </c>
      <c r="I37" s="174">
        <v>0</v>
      </c>
      <c r="J37" s="102" t="e">
        <f t="shared" si="2"/>
        <v>#VALUE!</v>
      </c>
      <c r="K37" s="102" t="e">
        <f>I37+'ACTA PARCIAL No.6'!K37</f>
        <v>#REF!</v>
      </c>
      <c r="L37" s="102" t="e">
        <f t="shared" si="3"/>
        <v>#REF!</v>
      </c>
      <c r="M37" s="108">
        <f t="shared" si="0"/>
        <v>21</v>
      </c>
    </row>
    <row r="38" spans="1:13">
      <c r="A38" s="87" t="str">
        <f>IF(LOOKUP(M38,PPTO!$J$8:$J$269,PPTO!A$8:A$269)=0," ",LOOKUP(M38,PPTO!$J$8:$J$269,PPTO!A$8:A$269))</f>
        <v>3.12</v>
      </c>
      <c r="B38" s="91" t="str">
        <f>IF(LOOKUP(M38,PPTO!$J$8:J$269,PPTO!B$8:B$269)=0," ",LOOKUP(M38,PPTO!$J$8:J$269,PPTO!B$8:B$269))</f>
        <v xml:space="preserve"> </v>
      </c>
      <c r="C38" s="89" t="str">
        <f>IF(LOOKUP(M38,PPTO!$J$8:$J$269,PPTO!D$8:D$269)=0," ",LOOKUP(M38,PPTO!$J$8:$J$269,PPTO!D$8:D$269))</f>
        <v>M3</v>
      </c>
      <c r="D38" s="90" t="str">
        <f>IF(LOOKUP(M38,PPTO!$J$8:$J$269,PPTO!E$8:E$269)=0," ",LOOKUP(M38,PPTO!$J$8:$J$269,PPTO!E$8:E$269))</f>
        <v xml:space="preserve"> </v>
      </c>
      <c r="E38" s="90" t="str">
        <f>IF(LOOKUP(M38,PPTO!$J$8:$J$269,PPTO!F$8:F$269)=0," ",LOOKUP(M38,PPTO!$J$8:$J$269,PPTO!F$8:F$269))</f>
        <v xml:space="preserve"> </v>
      </c>
      <c r="F38" s="90" t="str">
        <f>IF(LOOKUP(M38,PPTO!$J$8:$J$269,PPTO!H$8:H$269)=0," ",LOOKUP(M38,PPTO!$J$8:$J$269,PPTO!H$8:H$269))</f>
        <v xml:space="preserve"> </v>
      </c>
      <c r="G38" s="178">
        <v>3173.33</v>
      </c>
      <c r="H38" s="102" t="e">
        <f t="shared" si="1"/>
        <v>#VALUE!</v>
      </c>
      <c r="I38" s="174">
        <v>73</v>
      </c>
      <c r="J38" s="102" t="e">
        <f t="shared" si="2"/>
        <v>#VALUE!</v>
      </c>
      <c r="K38" s="102" t="e">
        <f>I38+'ACTA PARCIAL No.6'!K38</f>
        <v>#REF!</v>
      </c>
      <c r="L38" s="102" t="e">
        <f t="shared" si="3"/>
        <v>#REF!</v>
      </c>
      <c r="M38" s="108">
        <f t="shared" si="0"/>
        <v>22</v>
      </c>
    </row>
    <row r="39" spans="1:13">
      <c r="A39" s="87">
        <f>IF(LOOKUP(M39,PPTO!$J$8:$J$269,PPTO!A$8:A$269)=0," ",LOOKUP(M39,PPTO!$J$8:$J$269,PPTO!A$8:A$269))</f>
        <v>4</v>
      </c>
      <c r="B39" s="91" t="str">
        <f>IF(LOOKUP(M39,PPTO!$J$8:J$269,PPTO!B$8:B$269)=0," ",LOOKUP(M39,PPTO!$J$8:J$269,PPTO!B$8:B$269))</f>
        <v>TUBERIA DE ALCANTARILLADO</v>
      </c>
      <c r="C39" s="89" t="str">
        <f>IF(LOOKUP(M39,PPTO!$J$8:$J$269,PPTO!D$8:D$269)=0," ",LOOKUP(M39,PPTO!$J$8:$J$269,PPTO!D$8:D$269))</f>
        <v xml:space="preserve"> </v>
      </c>
      <c r="D39" s="90" t="str">
        <f>IF(LOOKUP(M39,PPTO!$J$8:$J$269,PPTO!E$8:E$269)=0," ",LOOKUP(M39,PPTO!$J$8:$J$269,PPTO!E$8:E$269))</f>
        <v xml:space="preserve"> </v>
      </c>
      <c r="E39" s="90" t="str">
        <f>IF(LOOKUP(M39,PPTO!$J$8:$J$269,PPTO!F$8:F$269)=0," ",LOOKUP(M39,PPTO!$J$8:$J$269,PPTO!F$8:F$269))</f>
        <v xml:space="preserve"> </v>
      </c>
      <c r="F39" s="90" t="str">
        <f>IF(LOOKUP(M39,PPTO!$J$8:$J$269,PPTO!H$8:H$269)=0," ",LOOKUP(M39,PPTO!$J$8:$J$269,PPTO!H$8:H$269))</f>
        <v xml:space="preserve"> </v>
      </c>
      <c r="G39" s="178"/>
      <c r="H39" s="102"/>
      <c r="I39" s="174"/>
      <c r="J39" s="102"/>
      <c r="K39" s="102"/>
      <c r="L39" s="102"/>
      <c r="M39" s="108">
        <f t="shared" si="0"/>
        <v>23</v>
      </c>
    </row>
    <row r="40" spans="1:13">
      <c r="A40" s="87" t="str">
        <f>IF(LOOKUP(M40,PPTO!$J$8:$J$269,PPTO!A$8:A$269)=0," ",LOOKUP(M40,PPTO!$J$8:$J$269,PPTO!A$8:A$269))</f>
        <v>4.01</v>
      </c>
      <c r="B40" s="91" t="str">
        <f>IF(LOOKUP(M40,PPTO!$J$8:J$269,PPTO!B$8:B$269)=0," ",LOOKUP(M40,PPTO!$J$8:J$269,PPTO!B$8:B$269))</f>
        <v xml:space="preserve"> </v>
      </c>
      <c r="C40" s="89" t="str">
        <f>IF(LOOKUP(M40,PPTO!$J$8:$J$269,PPTO!D$8:D$269)=0," ",LOOKUP(M40,PPTO!$J$8:$J$269,PPTO!D$8:D$269))</f>
        <v>ML</v>
      </c>
      <c r="D40" s="90" t="str">
        <f>IF(LOOKUP(M40,PPTO!$J$8:$J$269,PPTO!E$8:E$269)=0," ",LOOKUP(M40,PPTO!$J$8:$J$269,PPTO!E$8:E$269))</f>
        <v xml:space="preserve"> </v>
      </c>
      <c r="E40" s="90" t="str">
        <f>IF(LOOKUP(M40,PPTO!$J$8:$J$269,PPTO!F$8:F$269)=0," ",LOOKUP(M40,PPTO!$J$8:$J$269,PPTO!F$8:F$269))</f>
        <v xml:space="preserve"> </v>
      </c>
      <c r="F40" s="90" t="str">
        <f>IF(LOOKUP(M40,PPTO!$J$8:$J$269,PPTO!H$8:H$269)=0," ",LOOKUP(M40,PPTO!$J$8:$J$269,PPTO!H$8:H$269))</f>
        <v xml:space="preserve"> </v>
      </c>
      <c r="G40" s="178">
        <v>7554</v>
      </c>
      <c r="H40" s="102" t="e">
        <f t="shared" si="1"/>
        <v>#VALUE!</v>
      </c>
      <c r="I40" s="174">
        <v>0</v>
      </c>
      <c r="J40" s="102" t="e">
        <f t="shared" si="2"/>
        <v>#VALUE!</v>
      </c>
      <c r="K40" s="102" t="e">
        <f>I40+'ACTA PARCIAL No.6'!K40</f>
        <v>#REF!</v>
      </c>
      <c r="L40" s="102" t="e">
        <f t="shared" si="3"/>
        <v>#REF!</v>
      </c>
      <c r="M40" s="108">
        <f t="shared" si="0"/>
        <v>24</v>
      </c>
    </row>
    <row r="41" spans="1:13">
      <c r="A41" s="87" t="str">
        <f>IF(LOOKUP(M41,PPTO!$J$8:$J$269,PPTO!A$8:A$269)=0," ",LOOKUP(M41,PPTO!$J$8:$J$269,PPTO!A$8:A$269))</f>
        <v>4.02</v>
      </c>
      <c r="B41" s="91" t="str">
        <f>IF(LOOKUP(M41,PPTO!$J$8:J$269,PPTO!B$8:B$269)=0," ",LOOKUP(M41,PPTO!$J$8:J$269,PPTO!B$8:B$269))</f>
        <v xml:space="preserve"> </v>
      </c>
      <c r="C41" s="89" t="str">
        <f>IF(LOOKUP(M41,PPTO!$J$8:$J$269,PPTO!D$8:D$269)=0," ",LOOKUP(M41,PPTO!$J$8:$J$269,PPTO!D$8:D$269))</f>
        <v>ML</v>
      </c>
      <c r="D41" s="90" t="str">
        <f>IF(LOOKUP(M41,PPTO!$J$8:$J$269,PPTO!E$8:E$269)=0," ",LOOKUP(M41,PPTO!$J$8:$J$269,PPTO!E$8:E$269))</f>
        <v xml:space="preserve"> </v>
      </c>
      <c r="E41" s="90" t="str">
        <f>IF(LOOKUP(M41,PPTO!$J$8:$J$269,PPTO!F$8:F$269)=0," ",LOOKUP(M41,PPTO!$J$8:$J$269,PPTO!F$8:F$269))</f>
        <v xml:space="preserve"> </v>
      </c>
      <c r="F41" s="90" t="str">
        <f>IF(LOOKUP(M41,PPTO!$J$8:$J$269,PPTO!H$8:H$269)=0," ",LOOKUP(M41,PPTO!$J$8:$J$269,PPTO!H$8:H$269))</f>
        <v xml:space="preserve"> </v>
      </c>
      <c r="G41" s="178">
        <v>10629.07</v>
      </c>
      <c r="H41" s="102" t="e">
        <f t="shared" si="1"/>
        <v>#VALUE!</v>
      </c>
      <c r="I41" s="174">
        <v>0</v>
      </c>
      <c r="J41" s="102" t="e">
        <f t="shared" si="2"/>
        <v>#VALUE!</v>
      </c>
      <c r="K41" s="102" t="e">
        <f>I41+'ACTA PARCIAL No.6'!K41</f>
        <v>#REF!</v>
      </c>
      <c r="L41" s="102" t="e">
        <f t="shared" si="3"/>
        <v>#REF!</v>
      </c>
      <c r="M41" s="108">
        <f t="shared" si="0"/>
        <v>25</v>
      </c>
    </row>
    <row r="42" spans="1:13">
      <c r="A42" s="87" t="str">
        <f>IF(LOOKUP(M42,PPTO!$J$8:$J$269,PPTO!A$8:A$269)=0," ",LOOKUP(M42,PPTO!$J$8:$J$269,PPTO!A$8:A$269))</f>
        <v>4.03</v>
      </c>
      <c r="B42" s="91" t="str">
        <f>IF(LOOKUP(M42,PPTO!$J$8:J$269,PPTO!B$8:B$269)=0," ",LOOKUP(M42,PPTO!$J$8:J$269,PPTO!B$8:B$269))</f>
        <v xml:space="preserve"> </v>
      </c>
      <c r="C42" s="89" t="str">
        <f>IF(LOOKUP(M42,PPTO!$J$8:$J$269,PPTO!D$8:D$269)=0," ",LOOKUP(M42,PPTO!$J$8:$J$269,PPTO!D$8:D$269))</f>
        <v>ML</v>
      </c>
      <c r="D42" s="90" t="str">
        <f>IF(LOOKUP(M42,PPTO!$J$8:$J$269,PPTO!E$8:E$269)=0," ",LOOKUP(M42,PPTO!$J$8:$J$269,PPTO!E$8:E$269))</f>
        <v xml:space="preserve"> </v>
      </c>
      <c r="E42" s="90" t="str">
        <f>IF(LOOKUP(M42,PPTO!$J$8:$J$269,PPTO!F$8:F$269)=0," ",LOOKUP(M42,PPTO!$J$8:$J$269,PPTO!F$8:F$269))</f>
        <v xml:space="preserve"> </v>
      </c>
      <c r="F42" s="90" t="str">
        <f>IF(LOOKUP(M42,PPTO!$J$8:$J$269,PPTO!H$8:H$269)=0," ",LOOKUP(M42,PPTO!$J$8:$J$269,PPTO!H$8:H$269))</f>
        <v xml:space="preserve"> </v>
      </c>
      <c r="G42" s="178">
        <v>119.02</v>
      </c>
      <c r="H42" s="102" t="e">
        <f t="shared" si="1"/>
        <v>#VALUE!</v>
      </c>
      <c r="I42" s="174">
        <v>0</v>
      </c>
      <c r="J42" s="102" t="e">
        <f t="shared" si="2"/>
        <v>#VALUE!</v>
      </c>
      <c r="K42" s="102" t="e">
        <f>I42+'ACTA PARCIAL No.6'!K42</f>
        <v>#REF!</v>
      </c>
      <c r="L42" s="102" t="e">
        <f t="shared" si="3"/>
        <v>#REF!</v>
      </c>
      <c r="M42" s="108">
        <f t="shared" si="0"/>
        <v>26</v>
      </c>
    </row>
    <row r="43" spans="1:13">
      <c r="A43" s="87" t="str">
        <f>IF(LOOKUP(M43,PPTO!$J$8:$J$269,PPTO!A$8:A$269)=0," ",LOOKUP(M43,PPTO!$J$8:$J$269,PPTO!A$8:A$269))</f>
        <v>4.04</v>
      </c>
      <c r="B43" s="91" t="str">
        <f>IF(LOOKUP(M43,PPTO!$J$8:J$269,PPTO!B$8:B$269)=0," ",LOOKUP(M43,PPTO!$J$8:J$269,PPTO!B$8:B$269))</f>
        <v xml:space="preserve"> </v>
      </c>
      <c r="C43" s="89" t="str">
        <f>IF(LOOKUP(M43,PPTO!$J$8:$J$269,PPTO!D$8:D$269)=0," ",LOOKUP(M43,PPTO!$J$8:$J$269,PPTO!D$8:D$269))</f>
        <v>ML</v>
      </c>
      <c r="D43" s="90" t="str">
        <f>IF(LOOKUP(M43,PPTO!$J$8:$J$269,PPTO!E$8:E$269)=0," ",LOOKUP(M43,PPTO!$J$8:$J$269,PPTO!E$8:E$269))</f>
        <v xml:space="preserve"> </v>
      </c>
      <c r="E43" s="90" t="str">
        <f>IF(LOOKUP(M43,PPTO!$J$8:$J$269,PPTO!F$8:F$269)=0," ",LOOKUP(M43,PPTO!$J$8:$J$269,PPTO!F$8:F$269))</f>
        <v xml:space="preserve"> </v>
      </c>
      <c r="F43" s="90" t="str">
        <f>IF(LOOKUP(M43,PPTO!$J$8:$J$269,PPTO!H$8:H$269)=0," ",LOOKUP(M43,PPTO!$J$8:$J$269,PPTO!H$8:H$269))</f>
        <v xml:space="preserve"> </v>
      </c>
      <c r="G43" s="178">
        <v>293.73</v>
      </c>
      <c r="H43" s="102" t="e">
        <f t="shared" si="1"/>
        <v>#VALUE!</v>
      </c>
      <c r="I43" s="174">
        <v>0</v>
      </c>
      <c r="J43" s="102" t="e">
        <f t="shared" si="2"/>
        <v>#VALUE!</v>
      </c>
      <c r="K43" s="102" t="e">
        <f>I43+'ACTA PARCIAL No.6'!K43</f>
        <v>#REF!</v>
      </c>
      <c r="L43" s="102" t="e">
        <f t="shared" si="3"/>
        <v>#REF!</v>
      </c>
      <c r="M43" s="108">
        <f t="shared" si="0"/>
        <v>27</v>
      </c>
    </row>
    <row r="44" spans="1:13">
      <c r="A44" s="87" t="str">
        <f>IF(LOOKUP(M44,PPTO!$J$8:$J$269,PPTO!A$8:A$269)=0," ",LOOKUP(M44,PPTO!$J$8:$J$269,PPTO!A$8:A$269))</f>
        <v>4.05</v>
      </c>
      <c r="B44" s="91" t="str">
        <f>IF(LOOKUP(M44,PPTO!$J$8:J$269,PPTO!B$8:B$269)=0," ",LOOKUP(M44,PPTO!$J$8:J$269,PPTO!B$8:B$269))</f>
        <v xml:space="preserve"> </v>
      </c>
      <c r="C44" s="89" t="str">
        <f>IF(LOOKUP(M44,PPTO!$J$8:$J$269,PPTO!D$8:D$269)=0," ",LOOKUP(M44,PPTO!$J$8:$J$269,PPTO!D$8:D$269))</f>
        <v>ML</v>
      </c>
      <c r="D44" s="90" t="str">
        <f>IF(LOOKUP(M44,PPTO!$J$8:$J$269,PPTO!E$8:E$269)=0," ",LOOKUP(M44,PPTO!$J$8:$J$269,PPTO!E$8:E$269))</f>
        <v xml:space="preserve"> </v>
      </c>
      <c r="E44" s="90" t="str">
        <f>IF(LOOKUP(M44,PPTO!$J$8:$J$269,PPTO!F$8:F$269)=0," ",LOOKUP(M44,PPTO!$J$8:$J$269,PPTO!F$8:F$269))</f>
        <v xml:space="preserve"> </v>
      </c>
      <c r="F44" s="90" t="str">
        <f>IF(LOOKUP(M44,PPTO!$J$8:$J$269,PPTO!H$8:H$269)=0," ",LOOKUP(M44,PPTO!$J$8:$J$269,PPTO!H$8:H$269))</f>
        <v xml:space="preserve"> </v>
      </c>
      <c r="G44" s="178">
        <v>912.33</v>
      </c>
      <c r="H44" s="102" t="e">
        <f t="shared" si="1"/>
        <v>#VALUE!</v>
      </c>
      <c r="I44" s="174">
        <v>0</v>
      </c>
      <c r="J44" s="102" t="e">
        <f t="shared" si="2"/>
        <v>#VALUE!</v>
      </c>
      <c r="K44" s="102" t="e">
        <f>I44+'ACTA PARCIAL No.6'!K44</f>
        <v>#REF!</v>
      </c>
      <c r="L44" s="102" t="e">
        <f t="shared" si="3"/>
        <v>#REF!</v>
      </c>
      <c r="M44" s="108">
        <f t="shared" si="0"/>
        <v>28</v>
      </c>
    </row>
    <row r="45" spans="1:13">
      <c r="A45" s="87" t="str">
        <f>IF(LOOKUP(M45,PPTO!$J$8:$J$269,PPTO!A$8:A$269)=0," ",LOOKUP(M45,PPTO!$J$8:$J$269,PPTO!A$8:A$269))</f>
        <v>4.06</v>
      </c>
      <c r="B45" s="91" t="str">
        <f>IF(LOOKUP(M45,PPTO!$J$8:J$269,PPTO!B$8:B$269)=0," ",LOOKUP(M45,PPTO!$J$8:J$269,PPTO!B$8:B$269))</f>
        <v xml:space="preserve"> </v>
      </c>
      <c r="C45" s="89" t="str">
        <f>IF(LOOKUP(M45,PPTO!$J$8:$J$269,PPTO!D$8:D$269)=0," ",LOOKUP(M45,PPTO!$J$8:$J$269,PPTO!D$8:D$269))</f>
        <v>UND</v>
      </c>
      <c r="D45" s="90" t="str">
        <f>IF(LOOKUP(M45,PPTO!$J$8:$J$269,PPTO!E$8:E$269)=0," ",LOOKUP(M45,PPTO!$J$8:$J$269,PPTO!E$8:E$269))</f>
        <v xml:space="preserve"> </v>
      </c>
      <c r="E45" s="90" t="str">
        <f>IF(LOOKUP(M45,PPTO!$J$8:$J$269,PPTO!F$8:F$269)=0," ",LOOKUP(M45,PPTO!$J$8:$J$269,PPTO!F$8:F$269))</f>
        <v xml:space="preserve"> </v>
      </c>
      <c r="F45" s="90" t="str">
        <f>IF(LOOKUP(M45,PPTO!$J$8:$J$269,PPTO!H$8:H$269)=0," ",LOOKUP(M45,PPTO!$J$8:$J$269,PPTO!H$8:H$269))</f>
        <v xml:space="preserve"> </v>
      </c>
      <c r="G45" s="178">
        <v>1259</v>
      </c>
      <c r="H45" s="102" t="e">
        <f t="shared" si="1"/>
        <v>#VALUE!</v>
      </c>
      <c r="I45" s="174">
        <v>0</v>
      </c>
      <c r="J45" s="102" t="e">
        <f t="shared" si="2"/>
        <v>#VALUE!</v>
      </c>
      <c r="K45" s="102" t="e">
        <f>I45+'ACTA PARCIAL No.6'!K45</f>
        <v>#REF!</v>
      </c>
      <c r="L45" s="102" t="e">
        <f t="shared" si="3"/>
        <v>#REF!</v>
      </c>
      <c r="M45" s="108">
        <f t="shared" si="0"/>
        <v>29</v>
      </c>
    </row>
    <row r="46" spans="1:13">
      <c r="A46" s="87" t="str">
        <f>IF(LOOKUP(M46,PPTO!$J$8:$J$269,PPTO!A$8:A$269)=0," ",LOOKUP(M46,PPTO!$J$8:$J$269,PPTO!A$8:A$269))</f>
        <v>4.09</v>
      </c>
      <c r="B46" s="91" t="str">
        <f>IF(LOOKUP(M46,PPTO!$J$8:J$269,PPTO!B$8:B$269)=0," ",LOOKUP(M46,PPTO!$J$8:J$269,PPTO!B$8:B$269))</f>
        <v xml:space="preserve"> </v>
      </c>
      <c r="C46" s="89" t="str">
        <f>IF(LOOKUP(M46,PPTO!$J$8:$J$269,PPTO!D$8:D$269)=0," ",LOOKUP(M46,PPTO!$J$8:$J$269,PPTO!D$8:D$269))</f>
        <v>M3</v>
      </c>
      <c r="D46" s="90" t="str">
        <f>IF(LOOKUP(M46,PPTO!$J$8:$J$269,PPTO!E$8:E$269)=0," ",LOOKUP(M46,PPTO!$J$8:$J$269,PPTO!E$8:E$269))</f>
        <v xml:space="preserve"> </v>
      </c>
      <c r="E46" s="90" t="str">
        <f>IF(LOOKUP(M46,PPTO!$J$8:$J$269,PPTO!F$8:F$269)=0," ",LOOKUP(M46,PPTO!$J$8:$J$269,PPTO!F$8:F$269))</f>
        <v xml:space="preserve"> </v>
      </c>
      <c r="F46" s="90" t="str">
        <f>IF(LOOKUP(M46,PPTO!$J$8:$J$269,PPTO!H$8:H$269)=0," ",LOOKUP(M46,PPTO!$J$8:$J$269,PPTO!H$8:H$269))</f>
        <v xml:space="preserve"> </v>
      </c>
      <c r="G46" s="178">
        <v>453.24</v>
      </c>
      <c r="H46" s="102" t="e">
        <f t="shared" si="1"/>
        <v>#VALUE!</v>
      </c>
      <c r="I46" s="174">
        <v>0</v>
      </c>
      <c r="J46" s="102" t="e">
        <f t="shared" si="2"/>
        <v>#VALUE!</v>
      </c>
      <c r="K46" s="102" t="e">
        <f>I46+'ACTA PARCIAL No.6'!K46</f>
        <v>#REF!</v>
      </c>
      <c r="L46" s="102" t="e">
        <f t="shared" si="3"/>
        <v>#REF!</v>
      </c>
      <c r="M46" s="108">
        <f t="shared" si="0"/>
        <v>30</v>
      </c>
    </row>
    <row r="47" spans="1:13">
      <c r="A47" s="87" t="str">
        <f>IF(LOOKUP(M47,PPTO!$J$8:$J$269,PPTO!A$8:A$269)=0," ",LOOKUP(M47,PPTO!$J$8:$J$269,PPTO!A$8:A$269))</f>
        <v>4.10</v>
      </c>
      <c r="B47" s="91" t="str">
        <f>IF(LOOKUP(M47,PPTO!$J$8:J$269,PPTO!B$8:B$269)=0," ",LOOKUP(M47,PPTO!$J$8:J$269,PPTO!B$8:B$269))</f>
        <v xml:space="preserve"> </v>
      </c>
      <c r="C47" s="89" t="str">
        <f>IF(LOOKUP(M47,PPTO!$J$8:$J$269,PPTO!D$8:D$269)=0," ",LOOKUP(M47,PPTO!$J$8:$J$269,PPTO!D$8:D$269))</f>
        <v>M3</v>
      </c>
      <c r="D47" s="90" t="str">
        <f>IF(LOOKUP(M47,PPTO!$J$8:$J$269,PPTO!E$8:E$269)=0," ",LOOKUP(M47,PPTO!$J$8:$J$269,PPTO!E$8:E$269))</f>
        <v xml:space="preserve"> </v>
      </c>
      <c r="E47" s="90" t="str">
        <f>IF(LOOKUP(M47,PPTO!$J$8:$J$269,PPTO!F$8:F$269)=0," ",LOOKUP(M47,PPTO!$J$8:$J$269,PPTO!F$8:F$269))</f>
        <v xml:space="preserve"> </v>
      </c>
      <c r="F47" s="90" t="str">
        <f>IF(LOOKUP(M47,PPTO!$J$8:$J$269,PPTO!H$8:H$269)=0," ",LOOKUP(M47,PPTO!$J$8:$J$269,PPTO!H$8:H$269))</f>
        <v xml:space="preserve"> </v>
      </c>
      <c r="G47" s="178">
        <v>2381.3200000000002</v>
      </c>
      <c r="H47" s="102" t="e">
        <f t="shared" si="1"/>
        <v>#VALUE!</v>
      </c>
      <c r="I47" s="174">
        <v>0</v>
      </c>
      <c r="J47" s="102" t="e">
        <f t="shared" si="2"/>
        <v>#VALUE!</v>
      </c>
      <c r="K47" s="102" t="e">
        <f>I47+'ACTA PARCIAL No.6'!K47</f>
        <v>#REF!</v>
      </c>
      <c r="L47" s="102" t="e">
        <f t="shared" si="3"/>
        <v>#REF!</v>
      </c>
      <c r="M47" s="108">
        <f t="shared" si="0"/>
        <v>31</v>
      </c>
    </row>
    <row r="48" spans="1:13">
      <c r="A48" s="87">
        <f>IF(LOOKUP(M48,PPTO!$J$8:$J$269,PPTO!A$8:A$269)=0," ",LOOKUP(M48,PPTO!$J$8:$J$269,PPTO!A$8:A$269))</f>
        <v>5</v>
      </c>
      <c r="B48" s="91" t="str">
        <f>IF(LOOKUP(M48,PPTO!$J$8:J$269,PPTO!B$8:B$269)=0," ",LOOKUP(M48,PPTO!$J$8:J$269,PPTO!B$8:B$269))</f>
        <v>ESTRUCTURAS SANITARIAS EN CONCRETO</v>
      </c>
      <c r="C48" s="89" t="str">
        <f>IF(LOOKUP(M48,PPTO!$J$8:$J$269,PPTO!D$8:D$269)=0," ",LOOKUP(M48,PPTO!$J$8:$J$269,PPTO!D$8:D$269))</f>
        <v xml:space="preserve"> </v>
      </c>
      <c r="D48" s="90" t="str">
        <f>IF(LOOKUP(M48,PPTO!$J$8:$J$269,PPTO!E$8:E$269)=0," ",LOOKUP(M48,PPTO!$J$8:$J$269,PPTO!E$8:E$269))</f>
        <v xml:space="preserve"> </v>
      </c>
      <c r="E48" s="90" t="str">
        <f>IF(LOOKUP(M48,PPTO!$J$8:$J$269,PPTO!F$8:F$269)=0," ",LOOKUP(M48,PPTO!$J$8:$J$269,PPTO!F$8:F$269))</f>
        <v xml:space="preserve"> </v>
      </c>
      <c r="F48" s="90" t="str">
        <f>IF(LOOKUP(M48,PPTO!$J$8:$J$269,PPTO!H$8:H$269)=0," ",LOOKUP(M48,PPTO!$J$8:$J$269,PPTO!H$8:H$269))</f>
        <v xml:space="preserve"> </v>
      </c>
      <c r="G48" s="178"/>
      <c r="H48" s="102"/>
      <c r="I48" s="174"/>
      <c r="J48" s="102"/>
      <c r="K48" s="102"/>
      <c r="L48" s="102"/>
      <c r="M48" s="108">
        <f t="shared" si="0"/>
        <v>32</v>
      </c>
    </row>
    <row r="49" spans="1:13">
      <c r="A49" s="87" t="str">
        <f>IF(LOOKUP(M49,PPTO!$J$8:$J$269,PPTO!A$8:A$269)=0," ",LOOKUP(M49,PPTO!$J$8:$J$269,PPTO!A$8:A$269))</f>
        <v>5.01</v>
      </c>
      <c r="B49" s="91" t="str">
        <f>IF(LOOKUP(M49,PPTO!$J$8:J$269,PPTO!B$8:B$269)=0," ",LOOKUP(M49,PPTO!$J$8:J$269,PPTO!B$8:B$269))</f>
        <v xml:space="preserve"> </v>
      </c>
      <c r="C49" s="89" t="str">
        <f>IF(LOOKUP(M49,PPTO!$J$8:$J$269,PPTO!D$8:D$269)=0," ",LOOKUP(M49,PPTO!$J$8:$J$269,PPTO!D$8:D$269))</f>
        <v>M3</v>
      </c>
      <c r="D49" s="90" t="str">
        <f>IF(LOOKUP(M49,PPTO!$J$8:$J$269,PPTO!E$8:E$269)=0," ",LOOKUP(M49,PPTO!$J$8:$J$269,PPTO!E$8:E$269))</f>
        <v xml:space="preserve"> </v>
      </c>
      <c r="E49" s="90" t="str">
        <f>IF(LOOKUP(M49,PPTO!$J$8:$J$269,PPTO!F$8:F$269)=0," ",LOOKUP(M49,PPTO!$J$8:$J$269,PPTO!F$8:F$269))</f>
        <v xml:space="preserve"> </v>
      </c>
      <c r="F49" s="90" t="str">
        <f>IF(LOOKUP(M49,PPTO!$J$8:$J$269,PPTO!H$8:H$269)=0," ",LOOKUP(M49,PPTO!$J$8:$J$269,PPTO!H$8:H$269))</f>
        <v xml:space="preserve"> </v>
      </c>
      <c r="G49" s="178">
        <v>293.73</v>
      </c>
      <c r="H49" s="102" t="e">
        <f t="shared" si="1"/>
        <v>#VALUE!</v>
      </c>
      <c r="I49" s="174">
        <v>0</v>
      </c>
      <c r="J49" s="102" t="e">
        <f t="shared" si="2"/>
        <v>#VALUE!</v>
      </c>
      <c r="K49" s="102" t="e">
        <f>I49+'ACTA PARCIAL No.6'!K49</f>
        <v>#REF!</v>
      </c>
      <c r="L49" s="102" t="e">
        <f t="shared" si="3"/>
        <v>#REF!</v>
      </c>
      <c r="M49" s="108">
        <f t="shared" si="0"/>
        <v>33</v>
      </c>
    </row>
    <row r="50" spans="1:13">
      <c r="A50" s="87" t="str">
        <f>IF(LOOKUP(M50,PPTO!$J$8:$J$269,PPTO!A$8:A$269)=0," ",LOOKUP(M50,PPTO!$J$8:$J$269,PPTO!A$8:A$269))</f>
        <v>5.02</v>
      </c>
      <c r="B50" s="91" t="str">
        <f>IF(LOOKUP(M50,PPTO!$J$8:J$269,PPTO!B$8:B$269)=0," ",LOOKUP(M50,PPTO!$J$8:J$269,PPTO!B$8:B$269))</f>
        <v xml:space="preserve"> </v>
      </c>
      <c r="C50" s="89" t="str">
        <f>IF(LOOKUP(M50,PPTO!$J$8:$J$269,PPTO!D$8:D$269)=0," ",LOOKUP(M50,PPTO!$J$8:$J$269,PPTO!D$8:D$269))</f>
        <v>UND</v>
      </c>
      <c r="D50" s="90" t="str">
        <f>IF(LOOKUP(M50,PPTO!$J$8:$J$269,PPTO!E$8:E$269)=0," ",LOOKUP(M50,PPTO!$J$8:$J$269,PPTO!E$8:E$269))</f>
        <v xml:space="preserve"> </v>
      </c>
      <c r="E50" s="90" t="str">
        <f>IF(LOOKUP(M50,PPTO!$J$8:$J$269,PPTO!F$8:F$269)=0," ",LOOKUP(M50,PPTO!$J$8:$J$269,PPTO!F$8:F$269))</f>
        <v xml:space="preserve"> </v>
      </c>
      <c r="F50" s="90" t="str">
        <f>IF(LOOKUP(M50,PPTO!$J$8:$J$269,PPTO!H$8:H$269)=0," ",LOOKUP(M50,PPTO!$J$8:$J$269,PPTO!H$8:H$269))</f>
        <v xml:space="preserve"> </v>
      </c>
      <c r="G50" s="178">
        <v>912.33</v>
      </c>
      <c r="H50" s="102" t="e">
        <f t="shared" si="1"/>
        <v>#VALUE!</v>
      </c>
      <c r="I50" s="174">
        <v>0</v>
      </c>
      <c r="J50" s="102" t="e">
        <f t="shared" si="2"/>
        <v>#VALUE!</v>
      </c>
      <c r="K50" s="102" t="e">
        <f>I50+'ACTA PARCIAL No.6'!K50</f>
        <v>#REF!</v>
      </c>
      <c r="L50" s="102" t="e">
        <f t="shared" si="3"/>
        <v>#REF!</v>
      </c>
      <c r="M50" s="108">
        <f t="shared" si="0"/>
        <v>34</v>
      </c>
    </row>
    <row r="51" spans="1:13">
      <c r="A51" s="87" t="str">
        <f>IF(LOOKUP(M51,PPTO!$J$8:$J$269,PPTO!A$8:A$269)=0," ",LOOKUP(M51,PPTO!$J$8:$J$269,PPTO!A$8:A$269))</f>
        <v>5.03</v>
      </c>
      <c r="B51" s="91" t="str">
        <f>IF(LOOKUP(M51,PPTO!$J$8:J$269,PPTO!B$8:B$269)=0," ",LOOKUP(M51,PPTO!$J$8:J$269,PPTO!B$8:B$269))</f>
        <v xml:space="preserve"> </v>
      </c>
      <c r="C51" s="89" t="str">
        <f>IF(LOOKUP(M51,PPTO!$J$8:$J$269,PPTO!D$8:D$269)=0," ",LOOKUP(M51,PPTO!$J$8:$J$269,PPTO!D$8:D$269))</f>
        <v>UND</v>
      </c>
      <c r="D51" s="90" t="str">
        <f>IF(LOOKUP(M51,PPTO!$J$8:$J$269,PPTO!E$8:E$269)=0," ",LOOKUP(M51,PPTO!$J$8:$J$269,PPTO!E$8:E$269))</f>
        <v xml:space="preserve"> </v>
      </c>
      <c r="E51" s="90" t="str">
        <f>IF(LOOKUP(M51,PPTO!$J$8:$J$269,PPTO!F$8:F$269)=0," ",LOOKUP(M51,PPTO!$J$8:$J$269,PPTO!F$8:F$269))</f>
        <v xml:space="preserve"> </v>
      </c>
      <c r="F51" s="90" t="str">
        <f>IF(LOOKUP(M51,PPTO!$J$8:$J$269,PPTO!H$8:H$269)=0," ",LOOKUP(M51,PPTO!$J$8:$J$269,PPTO!H$8:H$269))</f>
        <v xml:space="preserve"> </v>
      </c>
      <c r="G51" s="178">
        <v>1259</v>
      </c>
      <c r="H51" s="102" t="e">
        <f t="shared" si="1"/>
        <v>#VALUE!</v>
      </c>
      <c r="I51" s="174">
        <v>0</v>
      </c>
      <c r="J51" s="102" t="e">
        <f t="shared" si="2"/>
        <v>#VALUE!</v>
      </c>
      <c r="K51" s="102" t="e">
        <f>I51+'ACTA PARCIAL No.6'!K51</f>
        <v>#REF!</v>
      </c>
      <c r="L51" s="102" t="e">
        <f t="shared" si="3"/>
        <v>#REF!</v>
      </c>
      <c r="M51" s="108">
        <f t="shared" si="0"/>
        <v>35</v>
      </c>
    </row>
    <row r="52" spans="1:13">
      <c r="A52" s="87" t="str">
        <f>IF(LOOKUP(M52,PPTO!$J$8:$J$269,PPTO!A$8:A$269)=0," ",LOOKUP(M52,PPTO!$J$8:$J$269,PPTO!A$8:A$269))</f>
        <v>5.04</v>
      </c>
      <c r="B52" s="91" t="str">
        <f>IF(LOOKUP(M52,PPTO!$J$8:J$269,PPTO!B$8:B$269)=0," ",LOOKUP(M52,PPTO!$J$8:J$269,PPTO!B$8:B$269))</f>
        <v xml:space="preserve"> </v>
      </c>
      <c r="C52" s="89" t="str">
        <f>IF(LOOKUP(M52,PPTO!$J$8:$J$269,PPTO!D$8:D$269)=0," ",LOOKUP(M52,PPTO!$J$8:$J$269,PPTO!D$8:D$269))</f>
        <v>UND</v>
      </c>
      <c r="D52" s="90" t="str">
        <f>IF(LOOKUP(M52,PPTO!$J$8:$J$269,PPTO!E$8:E$269)=0," ",LOOKUP(M52,PPTO!$J$8:$J$269,PPTO!E$8:E$269))</f>
        <v xml:space="preserve"> </v>
      </c>
      <c r="E52" s="90" t="str">
        <f>IF(LOOKUP(M52,PPTO!$J$8:$J$269,PPTO!F$8:F$269)=0," ",LOOKUP(M52,PPTO!$J$8:$J$269,PPTO!F$8:F$269))</f>
        <v xml:space="preserve"> </v>
      </c>
      <c r="F52" s="90" t="str">
        <f>IF(LOOKUP(M52,PPTO!$J$8:$J$269,PPTO!H$8:H$269)=0," ",LOOKUP(M52,PPTO!$J$8:$J$269,PPTO!H$8:H$269))</f>
        <v xml:space="preserve"> </v>
      </c>
      <c r="G52" s="178">
        <v>140</v>
      </c>
      <c r="H52" s="102" t="e">
        <f t="shared" si="1"/>
        <v>#VALUE!</v>
      </c>
      <c r="I52" s="174">
        <v>0</v>
      </c>
      <c r="J52" s="102" t="e">
        <f t="shared" si="2"/>
        <v>#VALUE!</v>
      </c>
      <c r="K52" s="102" t="e">
        <f>I52+'ACTA PARCIAL No.6'!K52</f>
        <v>#REF!</v>
      </c>
      <c r="L52" s="102" t="e">
        <f t="shared" si="3"/>
        <v>#REF!</v>
      </c>
      <c r="M52" s="108">
        <f t="shared" si="0"/>
        <v>36</v>
      </c>
    </row>
    <row r="53" spans="1:13">
      <c r="A53" s="87" t="str">
        <f>IF(LOOKUP(M53,PPTO!$J$8:$J$269,PPTO!A$8:A$269)=0," ",LOOKUP(M53,PPTO!$J$8:$J$269,PPTO!A$8:A$269))</f>
        <v>5.05</v>
      </c>
      <c r="B53" s="91" t="str">
        <f>IF(LOOKUP(M53,PPTO!$J$8:J$269,PPTO!B$8:B$269)=0," ",LOOKUP(M53,PPTO!$J$8:J$269,PPTO!B$8:B$269))</f>
        <v xml:space="preserve"> </v>
      </c>
      <c r="C53" s="89" t="str">
        <f>IF(LOOKUP(M53,PPTO!$J$8:$J$269,PPTO!D$8:D$269)=0," ",LOOKUP(M53,PPTO!$J$8:$J$269,PPTO!D$8:D$269))</f>
        <v>UND</v>
      </c>
      <c r="D53" s="90" t="str">
        <f>IF(LOOKUP(M53,PPTO!$J$8:$J$269,PPTO!E$8:E$269)=0," ",LOOKUP(M53,PPTO!$J$8:$J$269,PPTO!E$8:E$269))</f>
        <v xml:space="preserve"> </v>
      </c>
      <c r="E53" s="90" t="str">
        <f>IF(LOOKUP(M53,PPTO!$J$8:$J$269,PPTO!F$8:F$269)=0," ",LOOKUP(M53,PPTO!$J$8:$J$269,PPTO!F$8:F$269))</f>
        <v xml:space="preserve"> </v>
      </c>
      <c r="F53" s="90" t="str">
        <f>IF(LOOKUP(M53,PPTO!$J$8:$J$269,PPTO!H$8:H$269)=0," ",LOOKUP(M53,PPTO!$J$8:$J$269,PPTO!H$8:H$269))</f>
        <v xml:space="preserve"> </v>
      </c>
      <c r="G53" s="178">
        <v>84</v>
      </c>
      <c r="H53" s="102" t="e">
        <f t="shared" si="1"/>
        <v>#VALUE!</v>
      </c>
      <c r="I53" s="174">
        <v>0</v>
      </c>
      <c r="J53" s="102" t="e">
        <f t="shared" si="2"/>
        <v>#VALUE!</v>
      </c>
      <c r="K53" s="102" t="e">
        <f>I53+'ACTA PARCIAL No.6'!K53</f>
        <v>#REF!</v>
      </c>
      <c r="L53" s="102" t="e">
        <f t="shared" si="3"/>
        <v>#REF!</v>
      </c>
      <c r="M53" s="108">
        <f t="shared" si="0"/>
        <v>37</v>
      </c>
    </row>
    <row r="54" spans="1:13">
      <c r="A54" s="87" t="str">
        <f>IF(LOOKUP(M54,PPTO!$J$8:$J$269,PPTO!A$8:A$269)=0," ",LOOKUP(M54,PPTO!$J$8:$J$269,PPTO!A$8:A$269))</f>
        <v>5.06</v>
      </c>
      <c r="B54" s="91" t="str">
        <f>IF(LOOKUP(M54,PPTO!$J$8:J$269,PPTO!B$8:B$269)=0," ",LOOKUP(M54,PPTO!$J$8:J$269,PPTO!B$8:B$269))</f>
        <v xml:space="preserve"> </v>
      </c>
      <c r="C54" s="89" t="str">
        <f>IF(LOOKUP(M54,PPTO!$J$8:$J$269,PPTO!D$8:D$269)=0," ",LOOKUP(M54,PPTO!$J$8:$J$269,PPTO!D$8:D$269))</f>
        <v>UND</v>
      </c>
      <c r="D54" s="90" t="str">
        <f>IF(LOOKUP(M54,PPTO!$J$8:$J$269,PPTO!E$8:E$269)=0," ",LOOKUP(M54,PPTO!$J$8:$J$269,PPTO!E$8:E$269))</f>
        <v xml:space="preserve"> </v>
      </c>
      <c r="E54" s="90" t="str">
        <f>IF(LOOKUP(M54,PPTO!$J$8:$J$269,PPTO!F$8:F$269)=0," ",LOOKUP(M54,PPTO!$J$8:$J$269,PPTO!F$8:F$269))</f>
        <v xml:space="preserve"> </v>
      </c>
      <c r="F54" s="90" t="str">
        <f>IF(LOOKUP(M54,PPTO!$J$8:$J$269,PPTO!H$8:H$269)=0," ",LOOKUP(M54,PPTO!$J$8:$J$269,PPTO!H$8:H$269))</f>
        <v xml:space="preserve"> </v>
      </c>
      <c r="G54" s="178">
        <v>19</v>
      </c>
      <c r="H54" s="102" t="e">
        <f t="shared" si="1"/>
        <v>#VALUE!</v>
      </c>
      <c r="I54" s="174">
        <v>0</v>
      </c>
      <c r="J54" s="102" t="e">
        <f t="shared" si="2"/>
        <v>#VALUE!</v>
      </c>
      <c r="K54" s="102" t="e">
        <f>I54+'ACTA PARCIAL No.6'!K54</f>
        <v>#REF!</v>
      </c>
      <c r="L54" s="102" t="e">
        <f t="shared" si="3"/>
        <v>#REF!</v>
      </c>
      <c r="M54" s="108">
        <f t="shared" si="0"/>
        <v>38</v>
      </c>
    </row>
    <row r="55" spans="1:13">
      <c r="A55" s="87">
        <f>IF(LOOKUP(M55,PPTO!$J$8:$J$269,PPTO!A$8:A$269)=0," ",LOOKUP(M55,PPTO!$J$8:$J$269,PPTO!A$8:A$269))</f>
        <v>6</v>
      </c>
      <c r="B55" s="91" t="str">
        <f>IF(LOOKUP(M55,PPTO!$J$8:J$269,PPTO!B$8:B$269)=0," ",LOOKUP(M55,PPTO!$J$8:J$269,PPTO!B$8:B$269))</f>
        <v>CONSTRUCCION DE PAVIMENTOS</v>
      </c>
      <c r="C55" s="89" t="str">
        <f>IF(LOOKUP(M55,PPTO!$J$8:$J$269,PPTO!D$8:D$269)=0," ",LOOKUP(M55,PPTO!$J$8:$J$269,PPTO!D$8:D$269))</f>
        <v xml:space="preserve"> </v>
      </c>
      <c r="D55" s="90" t="str">
        <f>IF(LOOKUP(M55,PPTO!$J$8:$J$269,PPTO!E$8:E$269)=0," ",LOOKUP(M55,PPTO!$J$8:$J$269,PPTO!E$8:E$269))</f>
        <v xml:space="preserve"> </v>
      </c>
      <c r="E55" s="90" t="str">
        <f>IF(LOOKUP(M55,PPTO!$J$8:$J$269,PPTO!F$8:F$269)=0," ",LOOKUP(M55,PPTO!$J$8:$J$269,PPTO!F$8:F$269))</f>
        <v xml:space="preserve"> </v>
      </c>
      <c r="F55" s="90" t="str">
        <f>IF(LOOKUP(M55,PPTO!$J$8:$J$269,PPTO!H$8:H$269)=0," ",LOOKUP(M55,PPTO!$J$8:$J$269,PPTO!H$8:H$269))</f>
        <v xml:space="preserve"> </v>
      </c>
      <c r="G55" s="178"/>
      <c r="H55" s="102"/>
      <c r="I55" s="174"/>
      <c r="J55" s="102"/>
      <c r="K55" s="102"/>
      <c r="L55" s="102"/>
      <c r="M55" s="108">
        <f t="shared" si="0"/>
        <v>39</v>
      </c>
    </row>
    <row r="56" spans="1:13">
      <c r="A56" s="87" t="str">
        <f>IF(LOOKUP(M56,PPTO!$J$8:$J$269,PPTO!A$8:A$269)=0," ",LOOKUP(M56,PPTO!$J$8:$J$269,PPTO!A$8:A$269))</f>
        <v>6.01</v>
      </c>
      <c r="B56" s="91" t="str">
        <f>IF(LOOKUP(M56,PPTO!$J$8:J$269,PPTO!B$8:B$269)=0," ",LOOKUP(M56,PPTO!$J$8:J$269,PPTO!B$8:B$269))</f>
        <v xml:space="preserve"> </v>
      </c>
      <c r="C56" s="89" t="str">
        <f>IF(LOOKUP(M56,PPTO!$J$8:$J$269,PPTO!D$8:D$269)=0," ",LOOKUP(M56,PPTO!$J$8:$J$269,PPTO!D$8:D$269))</f>
        <v>M2</v>
      </c>
      <c r="D56" s="90" t="str">
        <f>IF(LOOKUP(M56,PPTO!$J$8:$J$269,PPTO!E$8:E$269)=0," ",LOOKUP(M56,PPTO!$J$8:$J$269,PPTO!E$8:E$269))</f>
        <v xml:space="preserve"> </v>
      </c>
      <c r="E56" s="90" t="str">
        <f>IF(LOOKUP(M56,PPTO!$J$8:$J$269,PPTO!F$8:F$269)=0," ",LOOKUP(M56,PPTO!$J$8:$J$269,PPTO!F$8:F$269))</f>
        <v xml:space="preserve"> </v>
      </c>
      <c r="F56" s="90" t="str">
        <f>IF(LOOKUP(M56,PPTO!$J$8:$J$269,PPTO!H$8:H$269)=0," ",LOOKUP(M56,PPTO!$J$8:$J$269,PPTO!H$8:H$269))</f>
        <v xml:space="preserve"> </v>
      </c>
      <c r="G56" s="178">
        <v>4134</v>
      </c>
      <c r="H56" s="102" t="e">
        <f t="shared" si="1"/>
        <v>#VALUE!</v>
      </c>
      <c r="I56" s="174">
        <v>0</v>
      </c>
      <c r="J56" s="102" t="e">
        <f t="shared" si="2"/>
        <v>#VALUE!</v>
      </c>
      <c r="K56" s="102" t="e">
        <f>I56+'ACTA PARCIAL No.6'!K56</f>
        <v>#REF!</v>
      </c>
      <c r="L56" s="102" t="e">
        <f t="shared" si="3"/>
        <v>#REF!</v>
      </c>
      <c r="M56" s="108">
        <f t="shared" si="0"/>
        <v>40</v>
      </c>
    </row>
    <row r="57" spans="1:13">
      <c r="A57" s="87" t="str">
        <f>IF(LOOKUP(M57,PPTO!$J$8:$J$269,PPTO!A$8:A$269)=0," ",LOOKUP(M57,PPTO!$J$8:$J$269,PPTO!A$8:A$269))</f>
        <v>6.02</v>
      </c>
      <c r="B57" s="91" t="str">
        <f>IF(LOOKUP(M57,PPTO!$J$8:J$269,PPTO!B$8:B$269)=0," ",LOOKUP(M57,PPTO!$J$8:J$269,PPTO!B$8:B$269))</f>
        <v xml:space="preserve"> </v>
      </c>
      <c r="C57" s="89" t="str">
        <f>IF(LOOKUP(M57,PPTO!$J$8:$J$269,PPTO!D$8:D$269)=0," ",LOOKUP(M57,PPTO!$J$8:$J$269,PPTO!D$8:D$269))</f>
        <v>M3</v>
      </c>
      <c r="D57" s="90" t="str">
        <f>IF(LOOKUP(M57,PPTO!$J$8:$J$269,PPTO!E$8:E$269)=0," ",LOOKUP(M57,PPTO!$J$8:$J$269,PPTO!E$8:E$269))</f>
        <v xml:space="preserve"> </v>
      </c>
      <c r="E57" s="90" t="str">
        <f>IF(LOOKUP(M57,PPTO!$J$8:$J$269,PPTO!F$8:F$269)=0," ",LOOKUP(M57,PPTO!$J$8:$J$269,PPTO!F$8:F$269))</f>
        <v xml:space="preserve"> </v>
      </c>
      <c r="F57" s="90" t="str">
        <f>IF(LOOKUP(M57,PPTO!$J$8:$J$269,PPTO!H$8:H$269)=0," ",LOOKUP(M57,PPTO!$J$8:$J$269,PPTO!H$8:H$269))</f>
        <v xml:space="preserve"> </v>
      </c>
      <c r="G57" s="178">
        <v>1243</v>
      </c>
      <c r="H57" s="102" t="e">
        <f t="shared" si="1"/>
        <v>#VALUE!</v>
      </c>
      <c r="I57" s="174">
        <v>0</v>
      </c>
      <c r="J57" s="102" t="e">
        <f t="shared" si="2"/>
        <v>#VALUE!</v>
      </c>
      <c r="K57" s="102" t="e">
        <f>I57+'ACTA PARCIAL No.6'!K57</f>
        <v>#REF!</v>
      </c>
      <c r="L57" s="102" t="e">
        <f t="shared" si="3"/>
        <v>#REF!</v>
      </c>
      <c r="M57" s="108">
        <f t="shared" si="0"/>
        <v>41</v>
      </c>
    </row>
    <row r="58" spans="1:13">
      <c r="A58" s="87" t="str">
        <f>IF(LOOKUP(M58,PPTO!$J$8:$J$269,PPTO!A$8:A$269)=0," ",LOOKUP(M58,PPTO!$J$8:$J$269,PPTO!A$8:A$269))</f>
        <v>6.04</v>
      </c>
      <c r="B58" s="91" t="str">
        <f>IF(LOOKUP(M58,PPTO!$J$8:J$269,PPTO!B$8:B$269)=0," ",LOOKUP(M58,PPTO!$J$8:J$269,PPTO!B$8:B$269))</f>
        <v xml:space="preserve"> </v>
      </c>
      <c r="C58" s="89" t="str">
        <f>IF(LOOKUP(M58,PPTO!$J$8:$J$269,PPTO!D$8:D$269)=0," ",LOOKUP(M58,PPTO!$J$8:$J$269,PPTO!D$8:D$269))</f>
        <v>M2</v>
      </c>
      <c r="D58" s="90" t="str">
        <f>IF(LOOKUP(M58,PPTO!$J$8:$J$269,PPTO!E$8:E$269)=0," ",LOOKUP(M58,PPTO!$J$8:$J$269,PPTO!E$8:E$269))</f>
        <v xml:space="preserve"> </v>
      </c>
      <c r="E58" s="90" t="str">
        <f>IF(LOOKUP(M58,PPTO!$J$8:$J$269,PPTO!F$8:F$269)=0," ",LOOKUP(M58,PPTO!$J$8:$J$269,PPTO!F$8:F$269))</f>
        <v xml:space="preserve"> </v>
      </c>
      <c r="F58" s="90" t="str">
        <f>IF(LOOKUP(M58,PPTO!$J$8:$J$269,PPTO!H$8:H$269)=0," ",LOOKUP(M58,PPTO!$J$8:$J$269,PPTO!H$8:H$269))</f>
        <v xml:space="preserve"> </v>
      </c>
      <c r="G58" s="178">
        <v>1259</v>
      </c>
      <c r="H58" s="102" t="e">
        <f t="shared" si="1"/>
        <v>#VALUE!</v>
      </c>
      <c r="I58" s="174">
        <v>0</v>
      </c>
      <c r="J58" s="102" t="e">
        <f t="shared" si="2"/>
        <v>#VALUE!</v>
      </c>
      <c r="K58" s="102" t="e">
        <f>I58+'ACTA PARCIAL No.6'!K58</f>
        <v>#REF!</v>
      </c>
      <c r="L58" s="102" t="e">
        <f t="shared" si="3"/>
        <v>#REF!</v>
      </c>
      <c r="M58" s="108">
        <f t="shared" si="0"/>
        <v>42</v>
      </c>
    </row>
    <row r="59" spans="1:13">
      <c r="A59" s="87" t="str">
        <f>IF(LOOKUP(M59,PPTO!$J$8:$J$269,PPTO!A$8:A$269)=0," ",LOOKUP(M59,PPTO!$J$8:$J$269,PPTO!A$8:A$269))</f>
        <v>6.05</v>
      </c>
      <c r="B59" s="91" t="str">
        <f>IF(LOOKUP(M59,PPTO!$J$8:J$269,PPTO!B$8:B$269)=0," ",LOOKUP(M59,PPTO!$J$8:J$269,PPTO!B$8:B$269))</f>
        <v xml:space="preserve"> </v>
      </c>
      <c r="C59" s="89" t="str">
        <f>IF(LOOKUP(M59,PPTO!$J$8:$J$269,PPTO!D$8:D$269)=0," ",LOOKUP(M59,PPTO!$J$8:$J$269,PPTO!D$8:D$269))</f>
        <v>ML</v>
      </c>
      <c r="D59" s="90" t="str">
        <f>IF(LOOKUP(M59,PPTO!$J$8:$J$269,PPTO!E$8:E$269)=0," ",LOOKUP(M59,PPTO!$J$8:$J$269,PPTO!E$8:E$269))</f>
        <v xml:space="preserve"> </v>
      </c>
      <c r="E59" s="90" t="str">
        <f>IF(LOOKUP(M59,PPTO!$J$8:$J$269,PPTO!F$8:F$269)=0," ",LOOKUP(M59,PPTO!$J$8:$J$269,PPTO!F$8:F$269))</f>
        <v xml:space="preserve"> </v>
      </c>
      <c r="F59" s="90" t="str">
        <f>IF(LOOKUP(M59,PPTO!$J$8:$J$269,PPTO!H$8:H$269)=0," ",LOOKUP(M59,PPTO!$J$8:$J$269,PPTO!H$8:H$269))</f>
        <v xml:space="preserve"> </v>
      </c>
      <c r="G59" s="178">
        <v>1259</v>
      </c>
      <c r="H59" s="102" t="e">
        <f t="shared" si="1"/>
        <v>#VALUE!</v>
      </c>
      <c r="I59" s="174">
        <v>0</v>
      </c>
      <c r="J59" s="102" t="e">
        <f t="shared" si="2"/>
        <v>#VALUE!</v>
      </c>
      <c r="K59" s="102" t="e">
        <f>I59+'ACTA PARCIAL No.6'!K59</f>
        <v>#REF!</v>
      </c>
      <c r="L59" s="102" t="e">
        <f t="shared" si="3"/>
        <v>#REF!</v>
      </c>
      <c r="M59" s="108">
        <f t="shared" si="0"/>
        <v>43</v>
      </c>
    </row>
    <row r="60" spans="1:13">
      <c r="A60" s="87" t="str">
        <f>IF(LOOKUP(M60,PPTO!$J$8:$J$269,PPTO!A$8:A$269)=0," ",LOOKUP(M60,PPTO!$J$8:$J$269,PPTO!A$8:A$269))</f>
        <v>6.06</v>
      </c>
      <c r="B60" s="91" t="str">
        <f>IF(LOOKUP(M60,PPTO!$J$8:J$269,PPTO!B$8:B$269)=0," ",LOOKUP(M60,PPTO!$J$8:J$269,PPTO!B$8:B$269))</f>
        <v xml:space="preserve"> </v>
      </c>
      <c r="C60" s="89" t="str">
        <f>IF(LOOKUP(M60,PPTO!$J$8:$J$269,PPTO!D$8:D$269)=0," ",LOOKUP(M60,PPTO!$J$8:$J$269,PPTO!D$8:D$269))</f>
        <v>M2</v>
      </c>
      <c r="D60" s="90" t="str">
        <f>IF(LOOKUP(M60,PPTO!$J$8:$J$269,PPTO!E$8:E$269)=0," ",LOOKUP(M60,PPTO!$J$8:$J$269,PPTO!E$8:E$269))</f>
        <v xml:space="preserve"> </v>
      </c>
      <c r="E60" s="90" t="str">
        <f>IF(LOOKUP(M60,PPTO!$J$8:$J$269,PPTO!F$8:F$269)=0," ",LOOKUP(M60,PPTO!$J$8:$J$269,PPTO!F$8:F$269))</f>
        <v xml:space="preserve"> </v>
      </c>
      <c r="F60" s="90" t="str">
        <f>IF(LOOKUP(M60,PPTO!$J$8:$J$269,PPTO!H$8:H$269)=0," ",LOOKUP(M60,PPTO!$J$8:$J$269,PPTO!H$8:H$269))</f>
        <v xml:space="preserve"> </v>
      </c>
      <c r="G60" s="178">
        <v>140</v>
      </c>
      <c r="H60" s="102" t="e">
        <f t="shared" si="1"/>
        <v>#VALUE!</v>
      </c>
      <c r="I60" s="174">
        <v>0</v>
      </c>
      <c r="J60" s="102" t="e">
        <f t="shared" si="2"/>
        <v>#VALUE!</v>
      </c>
      <c r="K60" s="102" t="e">
        <f>I60+'ACTA PARCIAL No.6'!K60</f>
        <v>#REF!</v>
      </c>
      <c r="L60" s="102" t="e">
        <f t="shared" si="3"/>
        <v>#REF!</v>
      </c>
      <c r="M60" s="108">
        <f t="shared" si="0"/>
        <v>44</v>
      </c>
    </row>
    <row r="61" spans="1:13">
      <c r="A61" s="87"/>
      <c r="B61" s="154"/>
      <c r="C61" s="155"/>
      <c r="D61" s="156"/>
      <c r="E61" s="156"/>
      <c r="F61" s="176"/>
      <c r="G61" s="179"/>
      <c r="H61" s="177"/>
      <c r="I61" s="174"/>
      <c r="J61" s="102"/>
      <c r="K61" s="102"/>
      <c r="L61" s="102"/>
      <c r="M61" s="108"/>
    </row>
    <row r="62" spans="1:13">
      <c r="A62" s="87"/>
      <c r="B62" s="275" t="s">
        <v>348</v>
      </c>
      <c r="C62" s="276"/>
      <c r="D62" s="277"/>
      <c r="E62" s="277"/>
      <c r="F62" s="277">
        <v>0</v>
      </c>
      <c r="G62" s="278"/>
      <c r="H62" s="278">
        <v>0</v>
      </c>
      <c r="I62" s="279"/>
      <c r="J62" s="279">
        <v>1</v>
      </c>
      <c r="K62" s="279"/>
      <c r="L62" s="279">
        <v>0</v>
      </c>
      <c r="M62" s="108"/>
    </row>
    <row r="63" spans="1:13" ht="12.75" thickBot="1">
      <c r="A63" s="87"/>
      <c r="B63" s="154"/>
      <c r="C63" s="155"/>
      <c r="D63" s="156"/>
      <c r="E63" s="156"/>
      <c r="F63" s="156"/>
      <c r="G63" s="161"/>
      <c r="H63" s="161"/>
      <c r="I63" s="102"/>
      <c r="J63" s="102"/>
      <c r="K63" s="102"/>
      <c r="L63" s="102"/>
      <c r="M63" s="108"/>
    </row>
    <row r="64" spans="1:13" ht="12.75" thickBot="1">
      <c r="A64" s="87"/>
      <c r="B64" s="280" t="s">
        <v>323</v>
      </c>
      <c r="C64" s="281"/>
      <c r="D64" s="282"/>
      <c r="E64" s="282"/>
      <c r="F64" s="283">
        <f>SUM(F19:F63)</f>
        <v>0</v>
      </c>
      <c r="G64" s="284"/>
      <c r="H64" s="283" t="e">
        <f>SUM(H19:H63)</f>
        <v>#VALUE!</v>
      </c>
      <c r="I64" s="284"/>
      <c r="J64" s="283" t="e">
        <f>SUM(J19:J63)</f>
        <v>#VALUE!</v>
      </c>
      <c r="K64" s="284"/>
      <c r="L64" s="283" t="e">
        <f>SUM(L19:L63)</f>
        <v>#REF!</v>
      </c>
      <c r="M64" s="108"/>
    </row>
    <row r="65" spans="1:13">
      <c r="A65" s="87"/>
      <c r="B65" s="285" t="s">
        <v>174</v>
      </c>
      <c r="C65" s="286" t="s">
        <v>296</v>
      </c>
      <c r="D65" s="287">
        <f>DATOS!E184</f>
        <v>18.5</v>
      </c>
      <c r="E65" s="288"/>
      <c r="F65" s="288">
        <f>ROUND(F$64*$D$65/100,0)</f>
        <v>0</v>
      </c>
      <c r="G65" s="289"/>
      <c r="H65" s="288" t="e">
        <f>ROUND(H$64*$D$65/100,0)</f>
        <v>#VALUE!</v>
      </c>
      <c r="I65" s="289"/>
      <c r="J65" s="288" t="e">
        <f>ROUND(J$64*$D$65/100,0)</f>
        <v>#VALUE!</v>
      </c>
      <c r="K65" s="289"/>
      <c r="L65" s="288" t="e">
        <f>ROUND(L$64*$D$65/100,0)</f>
        <v>#REF!</v>
      </c>
      <c r="M65" s="108"/>
    </row>
    <row r="66" spans="1:13">
      <c r="A66" s="87"/>
      <c r="B66" s="290" t="s">
        <v>166</v>
      </c>
      <c r="C66" s="291" t="s">
        <v>296</v>
      </c>
      <c r="D66" s="292">
        <f>DATOS!E186</f>
        <v>5</v>
      </c>
      <c r="E66" s="293"/>
      <c r="F66" s="288">
        <f>ROUND(F$64*$D$66/100,0)</f>
        <v>0</v>
      </c>
      <c r="G66" s="279"/>
      <c r="H66" s="288" t="e">
        <f>ROUND(H$64*$D$66/100,0)</f>
        <v>#VALUE!</v>
      </c>
      <c r="I66" s="279"/>
      <c r="J66" s="288" t="e">
        <f>ROUND(J$64*$D$66/100,0)</f>
        <v>#VALUE!</v>
      </c>
      <c r="K66" s="279"/>
      <c r="L66" s="288" t="e">
        <f>ROUND(L$64*$D$66/100,0)</f>
        <v>#REF!</v>
      </c>
      <c r="M66" s="108"/>
    </row>
    <row r="67" spans="1:13" ht="12.75" thickBot="1">
      <c r="A67" s="87"/>
      <c r="B67" s="294" t="s">
        <v>167</v>
      </c>
      <c r="C67" s="295" t="s">
        <v>296</v>
      </c>
      <c r="D67" s="292">
        <f>DATOS!E188</f>
        <v>8</v>
      </c>
      <c r="E67" s="293"/>
      <c r="F67" s="288">
        <f>ROUND(F$64*$D$67/100,0)</f>
        <v>0</v>
      </c>
      <c r="G67" s="279"/>
      <c r="H67" s="288" t="e">
        <f>ROUND(H$64*$D$67/100,0)</f>
        <v>#VALUE!</v>
      </c>
      <c r="I67" s="279"/>
      <c r="J67" s="288" t="e">
        <f>ROUND(J$64*$D$67/100,0)</f>
        <v>#VALUE!</v>
      </c>
      <c r="K67" s="279"/>
      <c r="L67" s="288" t="e">
        <f>ROUND(L$64*$D$67/100,0)</f>
        <v>#REF!</v>
      </c>
      <c r="M67" s="108"/>
    </row>
    <row r="68" spans="1:13" ht="12.75" thickBot="1">
      <c r="A68" s="87"/>
      <c r="B68" s="280" t="s">
        <v>324</v>
      </c>
      <c r="C68" s="281"/>
      <c r="D68" s="282"/>
      <c r="E68" s="282"/>
      <c r="F68" s="283">
        <f>SUM(F65:F67)</f>
        <v>0</v>
      </c>
      <c r="G68" s="284"/>
      <c r="H68" s="283" t="e">
        <f>SUM(H65:H67)</f>
        <v>#VALUE!</v>
      </c>
      <c r="I68" s="284"/>
      <c r="J68" s="283" t="e">
        <f>SUM(J65:J67)</f>
        <v>#VALUE!</v>
      </c>
      <c r="K68" s="284"/>
      <c r="L68" s="283" t="e">
        <f>SUM(L65:L67)</f>
        <v>#REF!</v>
      </c>
      <c r="M68" s="108"/>
    </row>
    <row r="69" spans="1:13" ht="19.149999999999999" customHeight="1" thickBot="1">
      <c r="A69" s="87"/>
      <c r="B69" s="1150"/>
      <c r="C69" s="1150"/>
      <c r="D69" s="293"/>
      <c r="E69" s="293"/>
      <c r="F69" s="293"/>
      <c r="G69" s="279"/>
      <c r="H69" s="293"/>
      <c r="I69" s="279"/>
      <c r="J69" s="293"/>
      <c r="K69" s="279"/>
      <c r="L69" s="293"/>
      <c r="M69" s="108"/>
    </row>
    <row r="70" spans="1:13" ht="12.75" thickBot="1">
      <c r="A70" s="87"/>
      <c r="B70" s="280" t="s">
        <v>325</v>
      </c>
      <c r="C70" s="281"/>
      <c r="D70" s="282"/>
      <c r="E70" s="282"/>
      <c r="F70" s="283">
        <f>F64+F68</f>
        <v>0</v>
      </c>
      <c r="G70" s="284"/>
      <c r="H70" s="283" t="e">
        <f>H64+H68</f>
        <v>#VALUE!</v>
      </c>
      <c r="I70" s="284"/>
      <c r="J70" s="283" t="e">
        <f>J64+J68</f>
        <v>#VALUE!</v>
      </c>
      <c r="K70" s="284"/>
      <c r="L70" s="283" t="e">
        <f>L64+L68</f>
        <v>#REF!</v>
      </c>
      <c r="M70" s="108"/>
    </row>
    <row r="71" spans="1:13">
      <c r="A71" s="87" t="str">
        <f>IF(LOOKUP(M71,PPTO!$J$8:$J$269,PPTO!A$8:A$269)=0," ",LOOKUP(M71,PPTO!$J$8:$J$269,PPTO!A$8:A$269))</f>
        <v xml:space="preserve"> </v>
      </c>
      <c r="B71" s="88" t="str">
        <f>IF(LOOKUP(M71,PPTO!$J$8:J$269,PPTO!B$8:B$269)=0," ",LOOKUP(M71,PPTO!$J$8:J$269,PPTO!B$8:B$269))</f>
        <v xml:space="preserve"> </v>
      </c>
      <c r="C71" s="89" t="str">
        <f>IF(LOOKUP(M71,PPTO!$J$8:$J$269,PPTO!D$8:D$269)=0," ",LOOKUP(M71,PPTO!$J$8:$J$269,PPTO!D$8:D$269))</f>
        <v xml:space="preserve"> </v>
      </c>
      <c r="D71" s="90" t="str">
        <f>IF(LOOKUP(M71,PPTO!$J$8:$J$269,PPTO!E$8:E$269)=0," ",LOOKUP(M71,PPTO!$J$8:$J$269,PPTO!E$8:E$269))</f>
        <v xml:space="preserve"> </v>
      </c>
      <c r="E71" s="90" t="str">
        <f>IF(LOOKUP(M71,PPTO!$J$8:$J$269,PPTO!F$8:F$269)=0," ",LOOKUP(M71,PPTO!$J$8:$J$269,PPTO!F$8:F$269))</f>
        <v xml:space="preserve"> </v>
      </c>
      <c r="F71" s="97" t="str">
        <f>IF(LOOKUP(M71,PPTO!$J$8:$J$269,PPTO!H$8:H$269)=0," ",LOOKUP(M71,PPTO!$J$8:$J$269,PPTO!H$8:H$269))</f>
        <v xml:space="preserve"> </v>
      </c>
      <c r="G71" s="102"/>
      <c r="H71" s="102"/>
      <c r="I71" s="102"/>
      <c r="J71" s="102"/>
      <c r="K71" s="102"/>
      <c r="L71" s="102"/>
      <c r="M71" s="108">
        <v>45</v>
      </c>
    </row>
    <row r="72" spans="1:13">
      <c r="A72" s="92">
        <f>IF(LOOKUP(M72,PPTO!$J$8:$J$269,PPTO!A$8:A$269)=0," ",LOOKUP(M72,PPTO!$J$8:$J$269,PPTO!A$8:A$269))</f>
        <v>7</v>
      </c>
      <c r="B72" s="88" t="str">
        <f>IF(LOOKUP(M72,PPTO!$J$8:J$269,PPTO!B$8:B$269)=0," ",LOOKUP(M72,PPTO!$J$8:J$269,PPTO!B$8:B$269))</f>
        <v>SUMINISTRO DE TUBERIA</v>
      </c>
      <c r="C72" s="145" t="str">
        <f>IF(LOOKUP(M72,PPTO!$J$8:$J$269,PPTO!D$8:D$269)=0," ",LOOKUP(M72,PPTO!$J$8:$J$269,PPTO!D$8:D$269))</f>
        <v xml:space="preserve"> </v>
      </c>
      <c r="D72" s="144" t="str">
        <f>IF(LOOKUP(M72,PPTO!$J$8:$J$269,PPTO!E$8:E$269)=0," ",LOOKUP(M72,PPTO!$J$8:$J$269,PPTO!E$8:E$269))</f>
        <v xml:space="preserve"> </v>
      </c>
      <c r="E72" s="90" t="str">
        <f>IF(LOOKUP(M72,PPTO!$J$8:$J$269,PPTO!F$8:F$269)=0," ",LOOKUP(M72,PPTO!$J$8:$J$269,PPTO!F$8:F$269))</f>
        <v xml:space="preserve"> </v>
      </c>
      <c r="F72" s="90" t="str">
        <f>IF(LOOKUP(M72,PPTO!$J$8:$J$269,PPTO!H$8:H$269)=0," ",LOOKUP(M72,PPTO!$J$8:$J$269,PPTO!H$8:H$269))</f>
        <v xml:space="preserve"> </v>
      </c>
      <c r="G72" s="178"/>
      <c r="H72" s="102"/>
      <c r="I72" s="174"/>
      <c r="J72" s="102"/>
      <c r="K72" s="102"/>
      <c r="L72" s="102"/>
      <c r="M72" s="108">
        <f t="shared" ref="M72:M77" si="4">M71+1</f>
        <v>46</v>
      </c>
    </row>
    <row r="73" spans="1:13" ht="24">
      <c r="A73" s="87" t="str">
        <f>IF(LOOKUP(M73,PPTO!$J$8:$J$269,PPTO!A$8:A$269)=0," ",LOOKUP(M73,PPTO!$J$8:$J$269,PPTO!A$8:A$269))</f>
        <v>7.01</v>
      </c>
      <c r="B73" s="91" t="str">
        <f>IF(LOOKUP(M73,PPTO!$J$8:J$269,PPTO!B$8:B$269)=0," ",LOOKUP(M73,PPTO!$J$8:J$269,PPTO!B$8:B$269))</f>
        <v>SUM DE TUBERIA PVC UNION MECANICA PARA ALCANTARILLADOS 6", 160 MM</v>
      </c>
      <c r="C73" s="145" t="str">
        <f>IF(LOOKUP(M73,PPTO!$J$8:$J$269,PPTO!D$8:D$269)=0," ",LOOKUP(M73,PPTO!$J$8:$J$269,PPTO!D$8:D$269))</f>
        <v>ML</v>
      </c>
      <c r="D73" s="90" t="str">
        <f>IF(LOOKUP(M73,PPTO!$J$8:$J$269,PPTO!E$8:E$269)=0," ",LOOKUP(M73,PPTO!$J$8:$J$269,PPTO!E$8:E$269))</f>
        <v xml:space="preserve"> </v>
      </c>
      <c r="E73" s="90" t="str">
        <f>IF(LOOKUP(M73,PPTO!$J$8:$J$269,PPTO!F$8:F$269)=0," ",LOOKUP(M73,PPTO!$J$8:$J$269,PPTO!F$8:F$269))</f>
        <v xml:space="preserve"> </v>
      </c>
      <c r="F73" s="90" t="str">
        <f>IF(LOOKUP(M73,PPTO!$J$8:$J$269,PPTO!H$8:H$269)=0," ",LOOKUP(M73,PPTO!$J$8:$J$269,PPTO!H$8:H$269))</f>
        <v xml:space="preserve"> </v>
      </c>
      <c r="G73" s="178">
        <v>7554</v>
      </c>
      <c r="H73" s="102" t="e">
        <f t="shared" ref="H73:H77" si="5">ROUND(G73*E73,0)</f>
        <v>#VALUE!</v>
      </c>
      <c r="I73" s="174">
        <v>0</v>
      </c>
      <c r="J73" s="102" t="e">
        <f t="shared" ref="J73:J77" si="6">ROUND(I73*E73,0)</f>
        <v>#VALUE!</v>
      </c>
      <c r="K73" s="102" t="e">
        <f>I73+'ACTA PARCIAL No.6'!K73</f>
        <v>#REF!</v>
      </c>
      <c r="L73" s="102" t="e">
        <f t="shared" ref="L73:L77" si="7">ROUND(K73*E73,0)</f>
        <v>#REF!</v>
      </c>
      <c r="M73" s="108">
        <f t="shared" si="4"/>
        <v>47</v>
      </c>
    </row>
    <row r="74" spans="1:13">
      <c r="A74" s="87" t="str">
        <f>IF(LOOKUP(M74,PPTO!$J$8:$J$269,PPTO!A$8:A$269)=0," ",LOOKUP(M74,PPTO!$J$8:$J$269,PPTO!A$8:A$269))</f>
        <v>7.02</v>
      </c>
      <c r="B74" s="91" t="str">
        <f>IF(LOOKUP(M74,PPTO!$J$8:J$269,PPTO!B$8:B$269)=0," ",LOOKUP(M74,PPTO!$J$8:J$269,PPTO!B$8:B$269))</f>
        <v>SUM TUB PVC 8" ALC</v>
      </c>
      <c r="C74" s="145" t="str">
        <f>IF(LOOKUP(M74,PPTO!$J$8:$J$269,PPTO!D$8:D$269)=0," ",LOOKUP(M74,PPTO!$J$8:$J$269,PPTO!D$8:D$269))</f>
        <v>ML</v>
      </c>
      <c r="D74" s="90" t="str">
        <f>IF(LOOKUP(M74,PPTO!$J$8:$J$269,PPTO!E$8:E$269)=0," ",LOOKUP(M74,PPTO!$J$8:$J$269,PPTO!E$8:E$269))</f>
        <v xml:space="preserve"> </v>
      </c>
      <c r="E74" s="90" t="str">
        <f>IF(LOOKUP(M74,PPTO!$J$8:$J$269,PPTO!F$8:F$269)=0," ",LOOKUP(M74,PPTO!$J$8:$J$269,PPTO!F$8:F$269))</f>
        <v xml:space="preserve"> </v>
      </c>
      <c r="F74" s="90" t="str">
        <f>IF(LOOKUP(M74,PPTO!$J$8:$J$269,PPTO!H$8:H$269)=0," ",LOOKUP(M74,PPTO!$J$8:$J$269,PPTO!H$8:H$269))</f>
        <v xml:space="preserve"> </v>
      </c>
      <c r="G74" s="178">
        <v>10629.07</v>
      </c>
      <c r="H74" s="102" t="e">
        <f t="shared" si="5"/>
        <v>#VALUE!</v>
      </c>
      <c r="I74" s="174">
        <v>0</v>
      </c>
      <c r="J74" s="102" t="e">
        <f t="shared" si="6"/>
        <v>#VALUE!</v>
      </c>
      <c r="K74" s="102" t="e">
        <f>I74+'ACTA PARCIAL No.6'!K74</f>
        <v>#REF!</v>
      </c>
      <c r="L74" s="102" t="e">
        <f t="shared" si="7"/>
        <v>#REF!</v>
      </c>
      <c r="M74" s="108">
        <f t="shared" si="4"/>
        <v>48</v>
      </c>
    </row>
    <row r="75" spans="1:13">
      <c r="A75" s="87" t="str">
        <f>IF(LOOKUP(M75,PPTO!$J$8:$J$269,PPTO!A$8:A$269)=0," ",LOOKUP(M75,PPTO!$J$8:$J$269,PPTO!A$8:A$269))</f>
        <v>7.03</v>
      </c>
      <c r="B75" s="91" t="str">
        <f>IF(LOOKUP(M75,PPTO!$J$8:J$269,PPTO!B$8:B$269)=0," ",LOOKUP(M75,PPTO!$J$8:J$269,PPTO!B$8:B$269))</f>
        <v>SUM TUB PVC 10" ALC</v>
      </c>
      <c r="C75" s="89" t="str">
        <f>IF(LOOKUP(M75,PPTO!$J$8:$J$269,PPTO!D$8:D$269)=0," ",LOOKUP(M75,PPTO!$J$8:$J$269,PPTO!D$8:D$269))</f>
        <v>ML</v>
      </c>
      <c r="D75" s="90" t="str">
        <f>IF(LOOKUP(M75,PPTO!$J$8:$J$269,PPTO!E$8:E$269)=0," ",LOOKUP(M75,PPTO!$J$8:$J$269,PPTO!E$8:E$269))</f>
        <v xml:space="preserve"> </v>
      </c>
      <c r="E75" s="90" t="str">
        <f>IF(LOOKUP(M75,PPTO!$J$8:$J$269,PPTO!F$8:F$269)=0," ",LOOKUP(M75,PPTO!$J$8:$J$269,PPTO!F$8:F$269))</f>
        <v xml:space="preserve"> </v>
      </c>
      <c r="F75" s="90" t="str">
        <f>IF(LOOKUP(M75,PPTO!$J$8:$J$269,PPTO!H$8:H$269)=0," ",LOOKUP(M75,PPTO!$J$8:$J$269,PPTO!H$8:H$269))</f>
        <v xml:space="preserve"> </v>
      </c>
      <c r="G75" s="178">
        <v>119.02</v>
      </c>
      <c r="H75" s="102" t="e">
        <f t="shared" si="5"/>
        <v>#VALUE!</v>
      </c>
      <c r="I75" s="174">
        <v>0</v>
      </c>
      <c r="J75" s="102" t="e">
        <f t="shared" si="6"/>
        <v>#VALUE!</v>
      </c>
      <c r="K75" s="102" t="e">
        <f>I75+'ACTA PARCIAL No.6'!K75</f>
        <v>#REF!</v>
      </c>
      <c r="L75" s="102" t="e">
        <f t="shared" si="7"/>
        <v>#REF!</v>
      </c>
      <c r="M75" s="108">
        <f t="shared" si="4"/>
        <v>49</v>
      </c>
    </row>
    <row r="76" spans="1:13">
      <c r="A76" s="87" t="str">
        <f>IF(LOOKUP(M76,PPTO!$J$8:$J$269,PPTO!A$8:A$269)=0," ",LOOKUP(M76,PPTO!$J$8:$J$269,PPTO!A$8:A$269))</f>
        <v>7.04</v>
      </c>
      <c r="B76" s="91" t="str">
        <f>IF(LOOKUP(M76,PPTO!$J$8:J$269,PPTO!B$8:B$269)=0," ",LOOKUP(M76,PPTO!$J$8:J$269,PPTO!B$8:B$269))</f>
        <v>SUM TUB PVC 12" ALC</v>
      </c>
      <c r="C76" s="89" t="str">
        <f>IF(LOOKUP(M76,PPTO!$J$8:$J$269,PPTO!D$8:D$269)=0," ",LOOKUP(M76,PPTO!$J$8:$J$269,PPTO!D$8:D$269))</f>
        <v>ML</v>
      </c>
      <c r="D76" s="90" t="str">
        <f>IF(LOOKUP(M76,PPTO!$J$8:$J$269,PPTO!E$8:E$269)=0," ",LOOKUP(M76,PPTO!$J$8:$J$269,PPTO!E$8:E$269))</f>
        <v xml:space="preserve"> </v>
      </c>
      <c r="E76" s="90" t="str">
        <f>IF(LOOKUP(M76,PPTO!$J$8:$J$269,PPTO!F$8:F$269)=0," ",LOOKUP(M76,PPTO!$J$8:$J$269,PPTO!F$8:F$269))</f>
        <v xml:space="preserve"> </v>
      </c>
      <c r="F76" s="90" t="str">
        <f>IF(LOOKUP(M76,PPTO!$J$8:$J$269,PPTO!H$8:H$269)=0," ",LOOKUP(M76,PPTO!$J$8:$J$269,PPTO!H$8:H$269))</f>
        <v xml:space="preserve"> </v>
      </c>
      <c r="G76" s="178">
        <v>293.73</v>
      </c>
      <c r="H76" s="102" t="e">
        <f t="shared" si="5"/>
        <v>#VALUE!</v>
      </c>
      <c r="I76" s="174">
        <v>0</v>
      </c>
      <c r="J76" s="102" t="e">
        <f t="shared" si="6"/>
        <v>#VALUE!</v>
      </c>
      <c r="K76" s="102" t="e">
        <f>I76+'ACTA PARCIAL No.6'!K76</f>
        <v>#REF!</v>
      </c>
      <c r="L76" s="102" t="e">
        <f t="shared" si="7"/>
        <v>#REF!</v>
      </c>
      <c r="M76" s="108">
        <f t="shared" si="4"/>
        <v>50</v>
      </c>
    </row>
    <row r="77" spans="1:13">
      <c r="A77" s="87" t="str">
        <f>IF(LOOKUP(M77,PPTO!$J$8:$J$269,PPTO!A$8:A$269)=0," ",LOOKUP(M77,PPTO!$J$8:$J$269,PPTO!A$8:A$269))</f>
        <v>7.05</v>
      </c>
      <c r="B77" s="91" t="str">
        <f>IF(LOOKUP(M77,PPTO!$J$8:J$269,PPTO!B$8:B$269)=0," ",LOOKUP(M77,PPTO!$J$8:J$269,PPTO!B$8:B$269))</f>
        <v>SUMINISTRO TUB PVC NOVAFORT 14 "</v>
      </c>
      <c r="C77" s="89" t="str">
        <f>IF(LOOKUP(M77,PPTO!$J$8:$J$269,PPTO!D$8:D$269)=0," ",LOOKUP(M77,PPTO!$J$8:$J$269,PPTO!D$8:D$269))</f>
        <v>ML</v>
      </c>
      <c r="D77" s="90" t="str">
        <f>IF(LOOKUP(M77,PPTO!$J$8:$J$269,PPTO!E$8:E$269)=0," ",LOOKUP(M77,PPTO!$J$8:$J$269,PPTO!E$8:E$269))</f>
        <v xml:space="preserve"> </v>
      </c>
      <c r="E77" s="90" t="str">
        <f>IF(LOOKUP(M77,PPTO!$J$8:$J$269,PPTO!F$8:F$269)=0," ",LOOKUP(M77,PPTO!$J$8:$J$269,PPTO!F$8:F$269))</f>
        <v xml:space="preserve"> </v>
      </c>
      <c r="F77" s="90" t="str">
        <f>IF(LOOKUP(M77,PPTO!$J$8:$J$269,PPTO!H$8:H$269)=0," ",LOOKUP(M77,PPTO!$J$8:$J$269,PPTO!H$8:H$269))</f>
        <v xml:space="preserve"> </v>
      </c>
      <c r="G77" s="178">
        <v>915</v>
      </c>
      <c r="H77" s="102" t="e">
        <f t="shared" si="5"/>
        <v>#VALUE!</v>
      </c>
      <c r="I77" s="174">
        <v>0</v>
      </c>
      <c r="J77" s="102" t="e">
        <f t="shared" si="6"/>
        <v>#VALUE!</v>
      </c>
      <c r="K77" s="102" t="e">
        <f>I77+'ACTA PARCIAL No.6'!K77</f>
        <v>#REF!</v>
      </c>
      <c r="L77" s="102" t="e">
        <f t="shared" si="7"/>
        <v>#REF!</v>
      </c>
      <c r="M77" s="108">
        <f t="shared" si="4"/>
        <v>51</v>
      </c>
    </row>
    <row r="78" spans="1:13">
      <c r="A78" s="87"/>
      <c r="B78" s="88"/>
      <c r="C78" s="89"/>
      <c r="D78" s="90"/>
      <c r="E78" s="90"/>
      <c r="F78" s="97"/>
      <c r="G78" s="179"/>
      <c r="H78" s="177"/>
      <c r="I78" s="174"/>
      <c r="J78" s="148"/>
      <c r="K78" s="102"/>
      <c r="L78" s="148"/>
      <c r="M78" s="108"/>
    </row>
    <row r="79" spans="1:13">
      <c r="A79" s="87"/>
      <c r="B79" s="275" t="s">
        <v>348</v>
      </c>
      <c r="C79" s="276"/>
      <c r="D79" s="277"/>
      <c r="E79" s="277"/>
      <c r="F79" s="277">
        <v>0</v>
      </c>
      <c r="G79" s="278"/>
      <c r="H79" s="278">
        <v>0</v>
      </c>
      <c r="I79" s="279"/>
      <c r="J79" s="279">
        <v>0</v>
      </c>
      <c r="K79" s="279"/>
      <c r="L79" s="279">
        <v>0</v>
      </c>
      <c r="M79" s="108"/>
    </row>
    <row r="80" spans="1:13" ht="12.75" thickBot="1">
      <c r="A80" s="87"/>
      <c r="B80" s="91"/>
      <c r="C80" s="89"/>
      <c r="D80" s="90"/>
      <c r="E80" s="90"/>
      <c r="F80" s="90"/>
      <c r="G80" s="161"/>
      <c r="H80" s="161"/>
      <c r="I80" s="102"/>
      <c r="J80" s="102"/>
      <c r="K80" s="102"/>
      <c r="L80" s="102"/>
      <c r="M80" s="108"/>
    </row>
    <row r="81" spans="1:13" ht="12.75" thickBot="1">
      <c r="A81" s="92"/>
      <c r="B81" s="280" t="s">
        <v>326</v>
      </c>
      <c r="C81" s="281"/>
      <c r="D81" s="282"/>
      <c r="E81" s="282"/>
      <c r="F81" s="283">
        <f>SUM(F73:F80)</f>
        <v>0</v>
      </c>
      <c r="G81" s="284"/>
      <c r="H81" s="283" t="e">
        <f>SUM(H73:H80)</f>
        <v>#VALUE!</v>
      </c>
      <c r="I81" s="284"/>
      <c r="J81" s="283" t="e">
        <f>SUM(J73:J80)</f>
        <v>#VALUE!</v>
      </c>
      <c r="K81" s="284"/>
      <c r="L81" s="283" t="e">
        <f>SUM(L73:L80)</f>
        <v>#REF!</v>
      </c>
      <c r="M81" s="108"/>
    </row>
    <row r="82" spans="1:13" ht="12.75" thickBot="1">
      <c r="A82" s="87"/>
      <c r="B82" s="285" t="s">
        <v>174</v>
      </c>
      <c r="C82" s="286" t="s">
        <v>296</v>
      </c>
      <c r="D82" s="287">
        <f>DATOS!E192</f>
        <v>18.5</v>
      </c>
      <c r="E82" s="288"/>
      <c r="F82" s="288">
        <f>ROUND(F$81*$D$82/100,0)</f>
        <v>0</v>
      </c>
      <c r="G82" s="289"/>
      <c r="H82" s="288" t="e">
        <f>ROUND(H$81*$D$82/100,0)</f>
        <v>#VALUE!</v>
      </c>
      <c r="I82" s="289"/>
      <c r="J82" s="288" t="e">
        <f>ROUND(J$81*$D$82/100,0)</f>
        <v>#VALUE!</v>
      </c>
      <c r="K82" s="289"/>
      <c r="L82" s="288" t="e">
        <f>ROUND(L$81*$D$82/100,0)</f>
        <v>#REF!</v>
      </c>
      <c r="M82" s="108"/>
    </row>
    <row r="83" spans="1:13" ht="12.75" thickBot="1">
      <c r="A83" s="87"/>
      <c r="B83" s="280" t="s">
        <v>327</v>
      </c>
      <c r="C83" s="281"/>
      <c r="D83" s="282"/>
      <c r="E83" s="282"/>
      <c r="F83" s="283">
        <f>F82</f>
        <v>0</v>
      </c>
      <c r="G83" s="284"/>
      <c r="H83" s="283" t="e">
        <f>H82</f>
        <v>#VALUE!</v>
      </c>
      <c r="I83" s="284"/>
      <c r="J83" s="283" t="e">
        <f>J82</f>
        <v>#VALUE!</v>
      </c>
      <c r="K83" s="284"/>
      <c r="L83" s="283" t="e">
        <f>L82</f>
        <v>#REF!</v>
      </c>
      <c r="M83" s="108"/>
    </row>
    <row r="84" spans="1:13" ht="12.75" thickBot="1">
      <c r="A84" s="87"/>
      <c r="B84" s="1150"/>
      <c r="C84" s="1150"/>
      <c r="D84" s="293"/>
      <c r="E84" s="293"/>
      <c r="F84" s="293"/>
      <c r="G84" s="279"/>
      <c r="H84" s="293"/>
      <c r="I84" s="279"/>
      <c r="J84" s="293"/>
      <c r="K84" s="279"/>
      <c r="L84" s="293"/>
      <c r="M84" s="108"/>
    </row>
    <row r="85" spans="1:13" ht="12.75" thickBot="1">
      <c r="A85" s="87"/>
      <c r="B85" s="280" t="s">
        <v>328</v>
      </c>
      <c r="C85" s="281"/>
      <c r="D85" s="282"/>
      <c r="E85" s="282"/>
      <c r="F85" s="283">
        <f>F81+F83</f>
        <v>0</v>
      </c>
      <c r="G85" s="284"/>
      <c r="H85" s="283" t="e">
        <f>H81+H83</f>
        <v>#VALUE!</v>
      </c>
      <c r="I85" s="284"/>
      <c r="J85" s="283" t="e">
        <f>J81+J83</f>
        <v>#VALUE!</v>
      </c>
      <c r="K85" s="284"/>
      <c r="L85" s="283" t="e">
        <f>L81+L83</f>
        <v>#REF!</v>
      </c>
      <c r="M85" s="108"/>
    </row>
    <row r="86" spans="1:13" ht="25.15" customHeight="1" thickBot="1">
      <c r="A86" s="87"/>
      <c r="B86" s="1151"/>
      <c r="C86" s="1151"/>
      <c r="D86" s="293"/>
      <c r="E86" s="293"/>
      <c r="F86" s="293"/>
      <c r="G86" s="279"/>
      <c r="H86" s="293"/>
      <c r="I86" s="279"/>
      <c r="J86" s="293"/>
      <c r="K86" s="279"/>
      <c r="L86" s="293"/>
      <c r="M86" s="108"/>
    </row>
    <row r="87" spans="1:13" ht="12.75" thickBot="1">
      <c r="A87" s="87"/>
      <c r="B87" s="280" t="s">
        <v>325</v>
      </c>
      <c r="C87" s="281"/>
      <c r="D87" s="282"/>
      <c r="E87" s="282"/>
      <c r="F87" s="283">
        <f>F70</f>
        <v>0</v>
      </c>
      <c r="G87" s="284"/>
      <c r="H87" s="283" t="e">
        <f>H70</f>
        <v>#VALUE!</v>
      </c>
      <c r="I87" s="284"/>
      <c r="J87" s="283" t="e">
        <f>J70</f>
        <v>#VALUE!</v>
      </c>
      <c r="K87" s="284"/>
      <c r="L87" s="283" t="e">
        <f>L70</f>
        <v>#REF!</v>
      </c>
      <c r="M87" s="108"/>
    </row>
    <row r="88" spans="1:13" ht="5.45" customHeight="1" thickBot="1">
      <c r="A88" s="87"/>
      <c r="B88" s="1151"/>
      <c r="C88" s="1151"/>
      <c r="D88" s="293"/>
      <c r="E88" s="293"/>
      <c r="F88" s="293"/>
      <c r="G88" s="279"/>
      <c r="H88" s="293"/>
      <c r="I88" s="279"/>
      <c r="J88" s="293"/>
      <c r="K88" s="279"/>
      <c r="L88" s="293"/>
      <c r="M88" s="108"/>
    </row>
    <row r="89" spans="1:13" ht="12.75" thickBot="1">
      <c r="A89" s="87"/>
      <c r="B89" s="280" t="s">
        <v>328</v>
      </c>
      <c r="C89" s="281"/>
      <c r="D89" s="282"/>
      <c r="E89" s="282"/>
      <c r="F89" s="283">
        <f>F85</f>
        <v>0</v>
      </c>
      <c r="G89" s="284"/>
      <c r="H89" s="283" t="e">
        <f>H85</f>
        <v>#VALUE!</v>
      </c>
      <c r="I89" s="284"/>
      <c r="J89" s="283" t="e">
        <f>J85</f>
        <v>#VALUE!</v>
      </c>
      <c r="K89" s="284"/>
      <c r="L89" s="283" t="e">
        <f>L85</f>
        <v>#REF!</v>
      </c>
      <c r="M89" s="108"/>
    </row>
    <row r="90" spans="1:13" ht="12.75" thickBot="1">
      <c r="A90" s="87"/>
      <c r="B90" s="976"/>
      <c r="C90" s="976"/>
      <c r="D90" s="144"/>
      <c r="E90" s="90"/>
      <c r="F90" s="90"/>
      <c r="G90" s="161"/>
      <c r="H90" s="156"/>
      <c r="I90" s="161"/>
      <c r="J90" s="156"/>
      <c r="K90" s="161"/>
      <c r="L90" s="156"/>
      <c r="M90" s="108"/>
    </row>
    <row r="91" spans="1:13" ht="15" customHeight="1" thickBot="1">
      <c r="A91" s="87"/>
      <c r="B91" s="157" t="s">
        <v>117</v>
      </c>
      <c r="C91" s="158"/>
      <c r="D91" s="159"/>
      <c r="E91" s="159"/>
      <c r="F91" s="160">
        <f>F87+F89</f>
        <v>0</v>
      </c>
      <c r="G91" s="163"/>
      <c r="H91" s="164" t="e">
        <f>H87+H89</f>
        <v>#VALUE!</v>
      </c>
      <c r="I91" s="165"/>
      <c r="J91" s="166" t="e">
        <f>J87+J89</f>
        <v>#VALUE!</v>
      </c>
      <c r="K91" s="167"/>
      <c r="L91" s="168" t="e">
        <f>L87+L89</f>
        <v>#REF!</v>
      </c>
      <c r="M91" s="108"/>
    </row>
    <row r="92" spans="1:13">
      <c r="A92" s="87"/>
      <c r="B92" s="88"/>
      <c r="C92" s="89"/>
      <c r="D92" s="90"/>
      <c r="E92" s="90"/>
      <c r="F92" s="90"/>
      <c r="G92" s="162"/>
      <c r="H92" s="162"/>
      <c r="I92" s="102"/>
      <c r="K92" s="102"/>
      <c r="L92" s="102"/>
      <c r="M92" s="108"/>
    </row>
    <row r="93" spans="1:13">
      <c r="A93" s="87"/>
      <c r="B93" s="88"/>
      <c r="C93" s="89"/>
      <c r="D93" s="90"/>
      <c r="E93" s="90"/>
      <c r="F93" s="90"/>
      <c r="G93" s="102"/>
      <c r="H93" s="102"/>
      <c r="I93" s="102"/>
      <c r="J93" s="102"/>
      <c r="K93" s="102"/>
      <c r="L93" s="102"/>
      <c r="M93" s="108"/>
    </row>
    <row r="94" spans="1:13">
      <c r="A94" s="84"/>
      <c r="B94" s="93"/>
      <c r="C94" s="84"/>
      <c r="D94" s="86"/>
      <c r="E94" s="86"/>
      <c r="F94" s="86"/>
      <c r="G94" s="85"/>
      <c r="H94" s="85"/>
      <c r="I94" s="85"/>
      <c r="J94" s="85"/>
      <c r="K94" s="85"/>
      <c r="L94" s="85"/>
      <c r="M94" s="108"/>
    </row>
    <row r="95" spans="1:13">
      <c r="B95" s="111" t="s">
        <v>251</v>
      </c>
      <c r="C95" s="84"/>
      <c r="D95" s="86"/>
      <c r="E95" s="86"/>
      <c r="F95" s="86"/>
      <c r="G95" s="85"/>
      <c r="H95" s="111" t="s">
        <v>263</v>
      </c>
      <c r="I95" s="85"/>
      <c r="J95" s="85"/>
      <c r="K95" s="85"/>
      <c r="L95" s="85"/>
      <c r="M95" s="108"/>
    </row>
    <row r="96" spans="1:13">
      <c r="A96" s="84"/>
      <c r="B96" s="113" t="s">
        <v>252</v>
      </c>
      <c r="C96" s="121"/>
      <c r="D96" s="123" t="s">
        <v>259</v>
      </c>
      <c r="E96" s="112"/>
      <c r="F96" s="112">
        <f>F7</f>
        <v>0</v>
      </c>
      <c r="G96" s="85"/>
      <c r="H96" s="117" t="s">
        <v>13</v>
      </c>
      <c r="I96" s="118"/>
      <c r="J96" s="120" t="s">
        <v>259</v>
      </c>
      <c r="K96" s="112"/>
      <c r="L96" s="112">
        <f>DATOS!E48</f>
        <v>0</v>
      </c>
      <c r="M96" s="108"/>
    </row>
    <row r="97" spans="1:13">
      <c r="A97" s="84"/>
      <c r="B97" s="113" t="s">
        <v>257</v>
      </c>
      <c r="C97" s="121"/>
      <c r="D97" s="123" t="s">
        <v>259</v>
      </c>
      <c r="E97" s="112"/>
      <c r="F97" s="112">
        <f>F8</f>
        <v>30000000</v>
      </c>
      <c r="G97" s="85"/>
      <c r="H97" s="117" t="s">
        <v>260</v>
      </c>
      <c r="I97" s="118"/>
      <c r="J97" s="120" t="s">
        <v>259</v>
      </c>
      <c r="K97" s="112"/>
      <c r="L97" s="112">
        <v>0</v>
      </c>
      <c r="M97" s="108"/>
    </row>
    <row r="98" spans="1:13">
      <c r="A98" s="84"/>
      <c r="B98" s="113" t="s">
        <v>258</v>
      </c>
      <c r="C98" s="121"/>
      <c r="D98" s="123" t="s">
        <v>259</v>
      </c>
      <c r="E98" s="112"/>
      <c r="F98" s="112">
        <f>F9</f>
        <v>0</v>
      </c>
      <c r="G98" s="85"/>
      <c r="H98" s="117" t="s">
        <v>261</v>
      </c>
      <c r="I98" s="118"/>
      <c r="J98" s="120" t="s">
        <v>259</v>
      </c>
      <c r="K98" s="112"/>
      <c r="L98" s="112">
        <v>0</v>
      </c>
      <c r="M98" s="108"/>
    </row>
    <row r="99" spans="1:13">
      <c r="A99" s="84"/>
      <c r="B99" s="113" t="s">
        <v>253</v>
      </c>
      <c r="C99" s="121"/>
      <c r="D99" s="123" t="s">
        <v>259</v>
      </c>
      <c r="E99" s="112" t="e">
        <f>'ACTA PARCIAL No.1'!E99</f>
        <v>#VALUE!</v>
      </c>
      <c r="F99" s="112"/>
      <c r="G99" s="85"/>
      <c r="H99" s="117" t="s">
        <v>262</v>
      </c>
      <c r="I99" s="118"/>
      <c r="J99" s="120" t="s">
        <v>259</v>
      </c>
      <c r="K99" s="112" t="e">
        <f>ROUND(E99*DATOS!$I$48,0)</f>
        <v>#VALUE!</v>
      </c>
      <c r="L99" s="112"/>
      <c r="M99" s="108"/>
    </row>
    <row r="100" spans="1:13">
      <c r="A100" s="84"/>
      <c r="B100" s="113" t="s">
        <v>272</v>
      </c>
      <c r="C100" s="121"/>
      <c r="D100" s="123" t="s">
        <v>259</v>
      </c>
      <c r="E100" s="112" t="e">
        <f>#REF!</f>
        <v>#REF!</v>
      </c>
      <c r="F100" s="112"/>
      <c r="G100" s="85"/>
      <c r="H100" s="117" t="s">
        <v>273</v>
      </c>
      <c r="I100" s="118"/>
      <c r="J100" s="120" t="s">
        <v>259</v>
      </c>
      <c r="K100" s="112" t="e">
        <f>ROUND(E100*DATOS!$I$48,0)</f>
        <v>#REF!</v>
      </c>
      <c r="L100" s="112"/>
      <c r="M100" s="108"/>
    </row>
    <row r="101" spans="1:13">
      <c r="A101" s="84"/>
      <c r="B101" s="113" t="s">
        <v>297</v>
      </c>
      <c r="C101" s="121"/>
      <c r="D101" s="123" t="s">
        <v>259</v>
      </c>
      <c r="E101" s="112" t="e">
        <f>#REF!</f>
        <v>#REF!</v>
      </c>
      <c r="F101" s="112"/>
      <c r="G101" s="85"/>
      <c r="H101" s="117" t="s">
        <v>304</v>
      </c>
      <c r="I101" s="118"/>
      <c r="J101" s="120" t="s">
        <v>259</v>
      </c>
      <c r="K101" s="112" t="e">
        <f>ROUND(E101*DATOS!$I$48,0)</f>
        <v>#REF!</v>
      </c>
      <c r="L101" s="112"/>
      <c r="M101" s="108"/>
    </row>
    <row r="102" spans="1:13">
      <c r="A102" s="84"/>
      <c r="B102" s="113" t="s">
        <v>298</v>
      </c>
      <c r="C102" s="121"/>
      <c r="D102" s="123" t="s">
        <v>259</v>
      </c>
      <c r="E102" s="112" t="e">
        <f>'ACTA PARCIAL No.4'!E102</f>
        <v>#VALUE!</v>
      </c>
      <c r="F102" s="112"/>
      <c r="G102" s="85"/>
      <c r="H102" s="117" t="s">
        <v>305</v>
      </c>
      <c r="I102" s="118"/>
      <c r="J102" s="120" t="s">
        <v>259</v>
      </c>
      <c r="K102" s="112" t="e">
        <f>ROUND(E102*DATOS!$I$48,0)</f>
        <v>#VALUE!</v>
      </c>
      <c r="L102" s="112"/>
      <c r="M102" s="108"/>
    </row>
    <row r="103" spans="1:13">
      <c r="A103" s="84"/>
      <c r="B103" s="113" t="s">
        <v>299</v>
      </c>
      <c r="C103" s="121"/>
      <c r="D103" s="123" t="s">
        <v>259</v>
      </c>
      <c r="E103" s="112" t="e">
        <f>'ACTA PARCIAL No.5'!E103</f>
        <v>#VALUE!</v>
      </c>
      <c r="F103" s="112"/>
      <c r="G103" s="85"/>
      <c r="H103" s="117" t="s">
        <v>306</v>
      </c>
      <c r="I103" s="118"/>
      <c r="J103" s="120" t="s">
        <v>259</v>
      </c>
      <c r="K103" s="112" t="e">
        <f>ROUND(E103*DATOS!$I$48,0)</f>
        <v>#VALUE!</v>
      </c>
      <c r="L103" s="112"/>
      <c r="M103" s="108"/>
    </row>
    <row r="104" spans="1:13">
      <c r="A104" s="84"/>
      <c r="B104" s="113" t="s">
        <v>300</v>
      </c>
      <c r="C104" s="121"/>
      <c r="D104" s="123" t="s">
        <v>259</v>
      </c>
      <c r="E104" s="112" t="e">
        <f>'ACTA PARCIAL No.6'!E104</f>
        <v>#VALUE!</v>
      </c>
      <c r="F104" s="112"/>
      <c r="G104" s="85"/>
      <c r="H104" s="117" t="s">
        <v>307</v>
      </c>
      <c r="I104" s="118"/>
      <c r="J104" s="120" t="s">
        <v>259</v>
      </c>
      <c r="K104" s="112" t="e">
        <f>ROUND(E104*DATOS!$I$48,0)</f>
        <v>#VALUE!</v>
      </c>
      <c r="L104" s="112"/>
      <c r="M104" s="108"/>
    </row>
    <row r="105" spans="1:13">
      <c r="A105" s="84"/>
      <c r="B105" s="113" t="s">
        <v>301</v>
      </c>
      <c r="C105" s="121"/>
      <c r="D105" s="123" t="s">
        <v>259</v>
      </c>
      <c r="E105" s="112" t="e">
        <f>J91</f>
        <v>#VALUE!</v>
      </c>
      <c r="F105" s="112"/>
      <c r="G105" s="85"/>
      <c r="H105" s="117" t="s">
        <v>308</v>
      </c>
      <c r="I105" s="118"/>
      <c r="J105" s="120" t="s">
        <v>259</v>
      </c>
      <c r="K105" s="112" t="e">
        <f>ROUND(E105*DATOS!$I$48,0)</f>
        <v>#VALUE!</v>
      </c>
      <c r="L105" s="112"/>
      <c r="M105" s="108"/>
    </row>
    <row r="106" spans="1:13">
      <c r="A106" s="84"/>
      <c r="B106" s="113" t="s">
        <v>254</v>
      </c>
      <c r="C106" s="121"/>
      <c r="D106" s="123" t="s">
        <v>259</v>
      </c>
      <c r="E106" s="112" t="e">
        <f>F96+F97+F98-E99-E100-E101-E102-E103-E104-E105</f>
        <v>#VALUE!</v>
      </c>
      <c r="F106" s="112"/>
      <c r="G106" s="85"/>
      <c r="H106" s="117" t="s">
        <v>250</v>
      </c>
      <c r="I106" s="118"/>
      <c r="J106" s="120" t="s">
        <v>259</v>
      </c>
      <c r="K106" s="112" t="e">
        <f>L96+L97+L98-K99-K100-K101-K102-K103-K104-K105</f>
        <v>#VALUE!</v>
      </c>
      <c r="L106" s="112"/>
      <c r="M106" s="108"/>
    </row>
    <row r="107" spans="1:13">
      <c r="A107" s="84"/>
      <c r="B107" s="114" t="s">
        <v>255</v>
      </c>
      <c r="C107" s="121"/>
      <c r="D107" s="123" t="s">
        <v>259</v>
      </c>
      <c r="E107" s="112" t="e">
        <f>SUM(E96:E106)</f>
        <v>#VALUE!</v>
      </c>
      <c r="F107" s="112">
        <f>SUM(F96:F106)</f>
        <v>30000000</v>
      </c>
      <c r="G107" s="85"/>
      <c r="H107" s="119" t="s">
        <v>255</v>
      </c>
      <c r="I107" s="118"/>
      <c r="J107" s="120" t="s">
        <v>259</v>
      </c>
      <c r="K107" s="112" t="e">
        <f>SUM(K96:K106)</f>
        <v>#VALUE!</v>
      </c>
      <c r="L107" s="112">
        <f>SUM(L96:L106)</f>
        <v>0</v>
      </c>
      <c r="M107" s="108"/>
    </row>
    <row r="108" spans="1:13">
      <c r="A108" s="84"/>
      <c r="B108" s="93"/>
      <c r="C108" s="84"/>
      <c r="D108" s="86"/>
      <c r="E108" s="86"/>
      <c r="F108" s="86"/>
      <c r="G108" s="85"/>
      <c r="I108" s="85"/>
      <c r="J108" s="85"/>
      <c r="K108" s="85"/>
      <c r="L108" s="85"/>
      <c r="M108" s="108"/>
    </row>
    <row r="109" spans="1:13">
      <c r="A109" s="84"/>
      <c r="B109" s="113" t="s">
        <v>311</v>
      </c>
      <c r="C109" s="121"/>
      <c r="D109" s="122"/>
      <c r="E109" s="123" t="s">
        <v>259</v>
      </c>
      <c r="F109" s="112">
        <f>F96+F97+F98</f>
        <v>30000000</v>
      </c>
      <c r="G109" s="85"/>
      <c r="H109" s="117" t="s">
        <v>265</v>
      </c>
      <c r="I109" s="118"/>
      <c r="J109" s="126"/>
      <c r="K109" s="120" t="s">
        <v>259</v>
      </c>
      <c r="L109" s="112" t="e">
        <f>E105</f>
        <v>#VALUE!</v>
      </c>
      <c r="M109" s="108"/>
    </row>
    <row r="110" spans="1:13">
      <c r="A110" s="84"/>
      <c r="B110" s="113" t="s">
        <v>264</v>
      </c>
      <c r="C110" s="121"/>
      <c r="D110" s="122"/>
      <c r="E110" s="123" t="s">
        <v>259</v>
      </c>
      <c r="F110" s="112" t="e">
        <f>E99+E100+E101+E102+E103+E104+E105</f>
        <v>#VALUE!</v>
      </c>
      <c r="G110" s="85"/>
      <c r="H110" s="117" t="s">
        <v>266</v>
      </c>
      <c r="I110" s="118"/>
      <c r="J110" s="126"/>
      <c r="K110" s="120" t="s">
        <v>259</v>
      </c>
      <c r="L110" s="112" t="e">
        <f>K105</f>
        <v>#VALUE!</v>
      </c>
      <c r="M110" s="108"/>
    </row>
    <row r="111" spans="1:13">
      <c r="A111" s="84"/>
      <c r="B111" s="113" t="s">
        <v>274</v>
      </c>
      <c r="C111" s="121"/>
      <c r="D111" s="122"/>
      <c r="E111" s="123" t="s">
        <v>259</v>
      </c>
      <c r="F111" s="112" t="e">
        <f>K106</f>
        <v>#VALUE!</v>
      </c>
      <c r="G111" s="85"/>
      <c r="H111" s="85"/>
      <c r="I111" s="85"/>
      <c r="J111" s="125"/>
      <c r="K111" s="126"/>
      <c r="L111" s="122"/>
      <c r="M111" s="108"/>
    </row>
    <row r="112" spans="1:13">
      <c r="A112" s="84"/>
      <c r="B112" s="113" t="s">
        <v>254</v>
      </c>
      <c r="C112" s="121"/>
      <c r="D112" s="122"/>
      <c r="E112" s="123" t="s">
        <v>259</v>
      </c>
      <c r="F112" s="112" t="e">
        <f>E106</f>
        <v>#VALUE!</v>
      </c>
      <c r="G112" s="85"/>
      <c r="H112" s="119" t="s">
        <v>267</v>
      </c>
      <c r="I112" s="118"/>
      <c r="J112" s="126"/>
      <c r="K112" s="120" t="s">
        <v>259</v>
      </c>
      <c r="L112" s="116" t="e">
        <f>L109-L110</f>
        <v>#VALUE!</v>
      </c>
      <c r="M112" s="108"/>
    </row>
    <row r="113" spans="1:13">
      <c r="A113" s="84"/>
      <c r="B113" s="114" t="s">
        <v>256</v>
      </c>
      <c r="C113" s="121"/>
      <c r="D113" s="122"/>
      <c r="E113" s="123"/>
      <c r="F113" s="124" t="e">
        <f>F110/F109</f>
        <v>#VALUE!</v>
      </c>
      <c r="G113" s="85"/>
      <c r="H113" s="85"/>
      <c r="I113" s="85"/>
      <c r="J113" s="85"/>
      <c r="K113" s="85"/>
      <c r="L113" s="85"/>
      <c r="M113" s="108"/>
    </row>
    <row r="114" spans="1:13">
      <c r="A114" s="84"/>
      <c r="B114" s="93"/>
      <c r="C114" s="84"/>
      <c r="D114" s="86"/>
      <c r="E114" s="86"/>
      <c r="F114" s="86"/>
      <c r="G114" s="85"/>
      <c r="H114" s="85"/>
      <c r="I114" s="85"/>
      <c r="J114" s="85"/>
      <c r="K114" s="85"/>
      <c r="L114" s="85"/>
      <c r="M114" s="108"/>
    </row>
    <row r="115" spans="1:13" ht="12.75" thickBot="1">
      <c r="A115" s="84"/>
      <c r="B115" s="93"/>
      <c r="C115" s="84"/>
      <c r="D115" s="86"/>
      <c r="E115" s="86"/>
      <c r="F115" s="86"/>
      <c r="G115" s="85"/>
      <c r="H115" s="85"/>
      <c r="I115" s="85"/>
      <c r="J115" s="85"/>
      <c r="K115" s="85"/>
      <c r="L115" s="85"/>
      <c r="M115" s="108"/>
    </row>
    <row r="116" spans="1:13" ht="15" customHeight="1" thickBot="1">
      <c r="A116" s="84"/>
      <c r="B116" s="93" t="s">
        <v>268</v>
      </c>
      <c r="C116" s="1144"/>
      <c r="D116" s="1145"/>
      <c r="E116" s="1145"/>
      <c r="F116" s="1145"/>
      <c r="G116" s="1145"/>
      <c r="H116" s="1145"/>
      <c r="I116" s="1145"/>
      <c r="J116" s="1145"/>
      <c r="K116" s="1145"/>
      <c r="L116" s="1146"/>
      <c r="M116" s="108"/>
    </row>
    <row r="117" spans="1:13">
      <c r="A117" s="84"/>
      <c r="B117" s="93"/>
      <c r="C117" s="84"/>
      <c r="D117" s="86"/>
      <c r="E117" s="86"/>
      <c r="F117" s="86"/>
      <c r="G117" s="85"/>
      <c r="H117" s="85"/>
      <c r="I117" s="85"/>
      <c r="J117" s="85"/>
      <c r="K117" s="85"/>
      <c r="L117" s="85"/>
      <c r="M117" s="108"/>
    </row>
    <row r="118" spans="1:13">
      <c r="A118" s="84"/>
      <c r="B118" s="93"/>
      <c r="C118" s="84"/>
      <c r="D118" s="86"/>
      <c r="E118" s="86"/>
      <c r="F118" s="86"/>
      <c r="G118" s="85"/>
      <c r="H118" s="85"/>
      <c r="I118" s="85"/>
      <c r="J118" s="85"/>
      <c r="K118" s="85"/>
      <c r="L118" s="85"/>
      <c r="M118" s="108"/>
    </row>
    <row r="119" spans="1:13" ht="26.45" customHeight="1">
      <c r="A119" s="84"/>
      <c r="B119" s="1066" t="s">
        <v>269</v>
      </c>
      <c r="C119" s="1066"/>
      <c r="D119" s="1066"/>
      <c r="E119" s="1066"/>
      <c r="F119" s="1066"/>
      <c r="G119" s="1066"/>
      <c r="H119" s="1066"/>
      <c r="I119" s="1066"/>
      <c r="J119" s="1066"/>
      <c r="K119" s="1066"/>
      <c r="L119" s="1066"/>
      <c r="M119" s="108"/>
    </row>
    <row r="120" spans="1:13">
      <c r="A120" s="84"/>
      <c r="B120" s="94"/>
      <c r="C120" s="84"/>
      <c r="D120" s="86"/>
      <c r="E120" s="86"/>
      <c r="F120" s="86"/>
      <c r="G120" s="85"/>
      <c r="H120" s="85"/>
      <c r="I120" s="85"/>
      <c r="J120" s="85"/>
      <c r="K120" s="85"/>
      <c r="L120" s="85"/>
      <c r="M120" s="108"/>
    </row>
    <row r="121" spans="1:13">
      <c r="A121" s="84"/>
      <c r="B121" s="94"/>
      <c r="C121" s="84"/>
      <c r="D121" s="86"/>
      <c r="E121" s="86"/>
      <c r="F121" s="86"/>
      <c r="G121" s="85"/>
      <c r="H121" s="85"/>
      <c r="I121" s="85"/>
      <c r="J121" s="85"/>
      <c r="K121" s="85"/>
      <c r="L121" s="85"/>
      <c r="M121" s="108"/>
    </row>
    <row r="122" spans="1:13">
      <c r="A122" s="84"/>
      <c r="B122" s="94"/>
      <c r="C122" s="84"/>
      <c r="D122" s="86"/>
      <c r="E122" s="86"/>
      <c r="F122" s="86"/>
      <c r="G122" s="85"/>
      <c r="H122" s="85"/>
      <c r="I122" s="85"/>
      <c r="J122" s="85"/>
      <c r="K122" s="85"/>
      <c r="L122" s="85"/>
      <c r="M122" s="108"/>
    </row>
    <row r="123" spans="1:13">
      <c r="A123" s="84"/>
      <c r="B123" s="94"/>
      <c r="C123" s="84"/>
      <c r="D123" s="86"/>
      <c r="E123" s="86"/>
      <c r="F123" s="86"/>
      <c r="G123" s="85"/>
      <c r="H123" s="85"/>
      <c r="I123" s="85"/>
      <c r="J123" s="85"/>
      <c r="K123" s="85"/>
      <c r="L123" s="85"/>
      <c r="M123" s="108"/>
    </row>
    <row r="124" spans="1:13">
      <c r="A124" s="84"/>
      <c r="B124" s="94"/>
      <c r="C124" s="84"/>
      <c r="D124" s="86"/>
      <c r="E124" s="86"/>
      <c r="F124" s="86"/>
      <c r="G124" s="85"/>
      <c r="H124" s="85"/>
      <c r="I124" s="85"/>
      <c r="J124" s="85"/>
      <c r="K124" s="85"/>
      <c r="L124" s="85"/>
      <c r="M124" s="108"/>
    </row>
    <row r="125" spans="1:13">
      <c r="A125" s="84"/>
      <c r="B125" s="85" t="s">
        <v>271</v>
      </c>
      <c r="C125" s="84"/>
      <c r="D125" s="86"/>
      <c r="E125" s="85" t="s">
        <v>271</v>
      </c>
      <c r="F125" s="86"/>
      <c r="G125" s="85"/>
      <c r="H125" s="85"/>
      <c r="I125" s="85"/>
      <c r="J125" s="85" t="s">
        <v>271</v>
      </c>
      <c r="K125" s="85"/>
      <c r="L125" s="85"/>
      <c r="M125" s="108"/>
    </row>
    <row r="126" spans="1:13">
      <c r="A126" s="84"/>
      <c r="B126" s="115">
        <f>IF(DATOS!E16="Persona Jurídica",DATOS!G20,DATOS!G16)</f>
        <v>0</v>
      </c>
      <c r="C126" s="84"/>
      <c r="D126" s="86"/>
      <c r="E126" s="128">
        <f>IF(DATOS!E10="CONTRATO DE OBRA",IF(DATOS!E24="Persona Jurídica",DATOS!G28,DATOS!G24),DATOS!G30)</f>
        <v>0</v>
      </c>
      <c r="F126" s="86"/>
      <c r="G126" s="85"/>
      <c r="H126" s="85"/>
      <c r="I126" s="85"/>
      <c r="J126" s="115">
        <f>DATOS!E42</f>
        <v>0</v>
      </c>
      <c r="K126" s="85"/>
      <c r="L126" s="85"/>
      <c r="M126" s="108"/>
    </row>
    <row r="127" spans="1:13">
      <c r="A127" s="84"/>
      <c r="B127" s="85" t="str">
        <f>IF(DATOS!E16="Persona Jurídica",DATOS!G16,"CONTRATISTA")</f>
        <v>CONTRATISTA</v>
      </c>
      <c r="C127" s="84"/>
      <c r="D127" s="86"/>
      <c r="E127" s="127" t="str">
        <f>IF(DATOS!E24="Persona Jurídica",DATOS!G24,"INTERVENTOR")</f>
        <v>INTERVENTOR</v>
      </c>
      <c r="F127" s="86"/>
      <c r="G127" s="85"/>
      <c r="H127" s="85"/>
      <c r="I127" s="85"/>
      <c r="J127" s="85" t="s">
        <v>330</v>
      </c>
      <c r="K127" s="85"/>
      <c r="L127" s="85"/>
      <c r="M127" s="108"/>
    </row>
    <row r="128" spans="1:13">
      <c r="A128" s="84"/>
      <c r="B128" s="85" t="str">
        <f>IF(DATOS!E16="Persona jurídica","CONTRATISTA"," ")</f>
        <v xml:space="preserve"> </v>
      </c>
      <c r="C128" s="84"/>
      <c r="D128" s="86"/>
      <c r="E128" s="127" t="str">
        <f>IF(DATOS!E24="Persona jurídica","INTERVENTOR"," ")</f>
        <v xml:space="preserve"> </v>
      </c>
      <c r="F128" s="86"/>
      <c r="G128" s="85"/>
      <c r="H128" s="85"/>
      <c r="I128" s="85"/>
      <c r="J128" s="85" t="s">
        <v>270</v>
      </c>
      <c r="K128" s="85"/>
      <c r="L128" s="85"/>
      <c r="M128" s="108"/>
    </row>
    <row r="129" spans="1:13">
      <c r="A129" s="84"/>
      <c r="B129" s="85"/>
      <c r="C129" s="84"/>
      <c r="D129" s="86"/>
      <c r="E129" s="86"/>
      <c r="F129" s="86"/>
      <c r="G129" s="85"/>
      <c r="H129" s="85"/>
      <c r="I129" s="85"/>
      <c r="J129" s="85"/>
      <c r="K129" s="85"/>
      <c r="L129" s="85"/>
      <c r="M129" s="108"/>
    </row>
    <row r="130" spans="1:13">
      <c r="A130" s="84"/>
      <c r="B130" s="85"/>
      <c r="C130" s="84"/>
      <c r="D130" s="86"/>
      <c r="E130" s="86"/>
      <c r="F130" s="86"/>
      <c r="G130" s="85"/>
      <c r="H130" s="85"/>
      <c r="I130" s="85"/>
      <c r="J130" s="85"/>
      <c r="K130" s="85"/>
      <c r="L130" s="85"/>
      <c r="M130" s="108"/>
    </row>
    <row r="131" spans="1:13">
      <c r="A131" s="84"/>
      <c r="B131" s="85"/>
      <c r="C131" s="84"/>
      <c r="D131" s="86"/>
      <c r="E131" s="86"/>
      <c r="F131" s="86"/>
      <c r="G131" s="85"/>
      <c r="H131" s="85"/>
      <c r="I131" s="85"/>
      <c r="J131" s="85"/>
      <c r="K131" s="85"/>
      <c r="L131" s="85"/>
      <c r="M131" s="108"/>
    </row>
    <row r="132" spans="1:13">
      <c r="A132" s="84"/>
      <c r="B132" s="85"/>
      <c r="C132" s="84"/>
      <c r="D132" s="86"/>
      <c r="E132" s="86"/>
      <c r="F132" s="86"/>
      <c r="G132" s="85"/>
      <c r="H132" s="85"/>
      <c r="I132" s="85"/>
      <c r="J132" s="85"/>
      <c r="K132" s="85"/>
      <c r="L132" s="85"/>
      <c r="M132" s="108"/>
    </row>
    <row r="133" spans="1:13">
      <c r="A133" s="84"/>
      <c r="B133" s="85"/>
      <c r="C133" s="84"/>
      <c r="D133" s="86"/>
      <c r="E133" s="86"/>
      <c r="F133" s="86"/>
      <c r="G133" s="85"/>
      <c r="H133" s="85"/>
      <c r="I133" s="85"/>
      <c r="J133" s="85"/>
      <c r="K133" s="85"/>
      <c r="L133" s="85"/>
      <c r="M133" s="108"/>
    </row>
    <row r="134" spans="1:13">
      <c r="A134" s="84"/>
      <c r="B134" s="85"/>
      <c r="C134" s="84"/>
      <c r="D134" s="86"/>
      <c r="E134" s="86"/>
      <c r="F134" s="86"/>
      <c r="G134" s="85"/>
      <c r="H134" s="85"/>
      <c r="I134" s="85"/>
      <c r="J134" s="85"/>
      <c r="K134" s="85"/>
      <c r="L134" s="85"/>
      <c r="M134" s="108"/>
    </row>
    <row r="135" spans="1:13">
      <c r="A135" s="84"/>
      <c r="B135" s="85"/>
      <c r="C135" s="84"/>
      <c r="D135" s="86"/>
      <c r="E135" s="86"/>
      <c r="F135" s="86"/>
      <c r="G135" s="85"/>
      <c r="H135" s="85"/>
      <c r="I135" s="85"/>
      <c r="J135" s="85"/>
      <c r="K135" s="85"/>
      <c r="L135" s="85"/>
      <c r="M135" s="108"/>
    </row>
    <row r="136" spans="1:13">
      <c r="A136" s="84"/>
      <c r="B136" s="85"/>
      <c r="C136" s="84"/>
      <c r="D136" s="86"/>
      <c r="E136" s="86"/>
      <c r="F136" s="86"/>
      <c r="G136" s="85"/>
      <c r="H136" s="85"/>
      <c r="I136" s="85"/>
      <c r="J136" s="85"/>
      <c r="K136" s="85"/>
      <c r="L136" s="85"/>
      <c r="M136" s="108"/>
    </row>
    <row r="137" spans="1:13">
      <c r="A137" s="84"/>
      <c r="B137" s="85"/>
      <c r="C137" s="84"/>
      <c r="D137" s="86"/>
      <c r="E137" s="86"/>
      <c r="F137" s="86"/>
      <c r="G137" s="85"/>
      <c r="H137" s="85"/>
      <c r="I137" s="85"/>
      <c r="J137" s="85"/>
      <c r="K137" s="85"/>
      <c r="L137" s="85"/>
      <c r="M137" s="108"/>
    </row>
    <row r="138" spans="1:13">
      <c r="A138" s="84"/>
      <c r="B138" s="85"/>
      <c r="C138" s="84"/>
      <c r="D138" s="86"/>
      <c r="E138" s="86"/>
      <c r="F138" s="86"/>
      <c r="G138" s="85"/>
      <c r="H138" s="85"/>
      <c r="I138" s="85"/>
      <c r="J138" s="85"/>
      <c r="K138" s="85"/>
      <c r="L138" s="85"/>
      <c r="M138" s="108"/>
    </row>
    <row r="139" spans="1:13">
      <c r="A139" s="84"/>
      <c r="B139" s="85"/>
      <c r="C139" s="84"/>
      <c r="D139" s="86"/>
      <c r="E139" s="86"/>
      <c r="F139" s="86"/>
      <c r="G139" s="85"/>
      <c r="H139" s="85"/>
      <c r="I139" s="85"/>
      <c r="J139" s="85"/>
      <c r="K139" s="85"/>
      <c r="L139" s="85"/>
      <c r="M139" s="108"/>
    </row>
    <row r="140" spans="1:13">
      <c r="A140" s="84"/>
      <c r="B140" s="85"/>
      <c r="C140" s="84"/>
      <c r="D140" s="86"/>
      <c r="E140" s="86"/>
      <c r="F140" s="86"/>
      <c r="G140" s="85"/>
      <c r="H140" s="85"/>
      <c r="I140" s="85"/>
      <c r="J140" s="85"/>
      <c r="K140" s="85"/>
      <c r="L140" s="85"/>
      <c r="M140" s="108"/>
    </row>
    <row r="141" spans="1:13">
      <c r="A141" s="84"/>
      <c r="B141" s="85"/>
      <c r="C141" s="84"/>
      <c r="D141" s="86"/>
      <c r="E141" s="86"/>
      <c r="F141" s="86"/>
      <c r="G141" s="85"/>
      <c r="H141" s="85"/>
      <c r="I141" s="85"/>
      <c r="J141" s="85"/>
      <c r="K141" s="85"/>
      <c r="L141" s="85"/>
      <c r="M141" s="108"/>
    </row>
    <row r="142" spans="1:13">
      <c r="A142" s="84"/>
      <c r="B142" s="85"/>
      <c r="C142" s="84"/>
      <c r="D142" s="86"/>
      <c r="E142" s="86"/>
      <c r="F142" s="86"/>
      <c r="G142" s="85"/>
      <c r="H142" s="85"/>
      <c r="I142" s="85"/>
      <c r="J142" s="85"/>
      <c r="K142" s="85"/>
      <c r="L142" s="85"/>
      <c r="M142" s="108"/>
    </row>
    <row r="143" spans="1:13">
      <c r="A143" s="84"/>
      <c r="B143" s="85"/>
      <c r="C143" s="84"/>
      <c r="D143" s="86"/>
      <c r="E143" s="86"/>
      <c r="F143" s="86"/>
      <c r="G143" s="85"/>
      <c r="H143" s="85"/>
      <c r="I143" s="85"/>
      <c r="J143" s="85"/>
      <c r="K143" s="85"/>
      <c r="L143" s="85"/>
      <c r="M143" s="108"/>
    </row>
    <row r="144" spans="1:13">
      <c r="A144" s="84"/>
      <c r="B144" s="85"/>
      <c r="C144" s="84"/>
      <c r="D144" s="86"/>
      <c r="E144" s="86"/>
      <c r="F144" s="86"/>
      <c r="G144" s="85"/>
      <c r="H144" s="85"/>
      <c r="I144" s="85"/>
      <c r="J144" s="85"/>
      <c r="K144" s="85"/>
      <c r="L144" s="85"/>
      <c r="M144" s="108"/>
    </row>
    <row r="145" spans="1:13">
      <c r="A145" s="84"/>
      <c r="B145" s="85"/>
      <c r="C145" s="84"/>
      <c r="D145" s="86"/>
      <c r="E145" s="86"/>
      <c r="F145" s="86"/>
      <c r="G145" s="85"/>
      <c r="H145" s="85"/>
      <c r="I145" s="85"/>
      <c r="J145" s="85"/>
      <c r="K145" s="85"/>
      <c r="L145" s="85"/>
      <c r="M145" s="108"/>
    </row>
    <row r="146" spans="1:13">
      <c r="A146" s="84"/>
      <c r="B146" s="85"/>
      <c r="C146" s="84"/>
      <c r="D146" s="86"/>
      <c r="E146" s="86"/>
      <c r="F146" s="86"/>
      <c r="G146" s="85"/>
      <c r="H146" s="85"/>
      <c r="I146" s="85"/>
      <c r="J146" s="85"/>
      <c r="K146" s="85"/>
      <c r="L146" s="85"/>
      <c r="M146" s="108"/>
    </row>
    <row r="147" spans="1:13">
      <c r="A147" s="84"/>
      <c r="B147" s="85"/>
      <c r="C147" s="84"/>
      <c r="D147" s="86"/>
      <c r="E147" s="86"/>
      <c r="F147" s="86"/>
      <c r="G147" s="85"/>
      <c r="H147" s="85"/>
      <c r="I147" s="85"/>
      <c r="J147" s="85"/>
      <c r="K147" s="85"/>
      <c r="L147" s="85"/>
      <c r="M147" s="108"/>
    </row>
    <row r="148" spans="1:13">
      <c r="A148" s="84"/>
      <c r="B148" s="85"/>
      <c r="C148" s="84"/>
      <c r="D148" s="86"/>
      <c r="E148" s="86"/>
      <c r="F148" s="86"/>
      <c r="G148" s="85"/>
      <c r="H148" s="85"/>
      <c r="I148" s="85"/>
      <c r="J148" s="85"/>
      <c r="K148" s="85"/>
      <c r="L148" s="85"/>
      <c r="M148" s="108"/>
    </row>
    <row r="149" spans="1:13">
      <c r="A149" s="84"/>
      <c r="B149" s="85"/>
      <c r="C149" s="84"/>
      <c r="D149" s="86"/>
      <c r="E149" s="86"/>
      <c r="F149" s="86"/>
      <c r="G149" s="85"/>
      <c r="H149" s="85"/>
      <c r="I149" s="85"/>
      <c r="J149" s="85"/>
      <c r="K149" s="85"/>
      <c r="L149" s="85"/>
      <c r="M149" s="108"/>
    </row>
    <row r="150" spans="1:13">
      <c r="A150" s="84"/>
      <c r="B150" s="85"/>
      <c r="C150" s="84"/>
      <c r="D150" s="86"/>
      <c r="E150" s="86"/>
      <c r="F150" s="86"/>
      <c r="G150" s="85"/>
      <c r="H150" s="85"/>
      <c r="I150" s="85"/>
      <c r="J150" s="85"/>
      <c r="K150" s="85"/>
      <c r="L150" s="85"/>
      <c r="M150" s="108"/>
    </row>
    <row r="151" spans="1:13">
      <c r="A151" s="84"/>
      <c r="B151" s="85"/>
      <c r="C151" s="84"/>
      <c r="D151" s="86"/>
      <c r="E151" s="86"/>
      <c r="F151" s="86"/>
      <c r="G151" s="85"/>
      <c r="H151" s="85"/>
      <c r="I151" s="85"/>
      <c r="J151" s="85"/>
      <c r="K151" s="85"/>
      <c r="L151" s="85"/>
      <c r="M151" s="108"/>
    </row>
    <row r="152" spans="1:13">
      <c r="A152" s="84"/>
      <c r="B152" s="85"/>
      <c r="C152" s="84"/>
      <c r="D152" s="86"/>
      <c r="E152" s="86"/>
      <c r="F152" s="86"/>
      <c r="G152" s="85"/>
      <c r="H152" s="85"/>
      <c r="I152" s="85"/>
      <c r="J152" s="85"/>
      <c r="K152" s="85"/>
      <c r="L152" s="85"/>
      <c r="M152" s="108"/>
    </row>
    <row r="153" spans="1:13">
      <c r="A153" s="84"/>
      <c r="B153" s="85"/>
      <c r="C153" s="84"/>
      <c r="D153" s="86"/>
      <c r="E153" s="86"/>
      <c r="F153" s="86"/>
      <c r="G153" s="85"/>
      <c r="H153" s="85"/>
      <c r="I153" s="85"/>
      <c r="J153" s="85"/>
      <c r="K153" s="85"/>
      <c r="L153" s="85"/>
      <c r="M153" s="108"/>
    </row>
    <row r="154" spans="1:13">
      <c r="A154" s="84"/>
      <c r="B154" s="85"/>
      <c r="C154" s="84"/>
      <c r="D154" s="86"/>
      <c r="E154" s="86"/>
      <c r="F154" s="86"/>
      <c r="G154" s="85"/>
      <c r="H154" s="85"/>
      <c r="I154" s="85"/>
      <c r="J154" s="85"/>
      <c r="K154" s="85"/>
      <c r="L154" s="85"/>
      <c r="M154" s="108"/>
    </row>
    <row r="155" spans="1:13">
      <c r="A155" s="84"/>
      <c r="B155" s="85"/>
      <c r="C155" s="84"/>
      <c r="D155" s="86"/>
      <c r="E155" s="86"/>
      <c r="F155" s="86"/>
      <c r="G155" s="85"/>
      <c r="H155" s="85"/>
      <c r="I155" s="85"/>
      <c r="J155" s="85"/>
      <c r="K155" s="85"/>
      <c r="L155" s="85"/>
      <c r="M155" s="108"/>
    </row>
    <row r="156" spans="1:13">
      <c r="A156" s="84"/>
      <c r="B156" s="85"/>
      <c r="C156" s="84"/>
      <c r="D156" s="86"/>
      <c r="E156" s="86"/>
      <c r="F156" s="86"/>
      <c r="G156" s="85"/>
      <c r="H156" s="85"/>
      <c r="I156" s="85"/>
      <c r="J156" s="85"/>
      <c r="K156" s="85"/>
      <c r="L156" s="85"/>
      <c r="M156" s="108"/>
    </row>
    <row r="157" spans="1:13">
      <c r="A157" s="84"/>
      <c r="B157" s="85"/>
      <c r="C157" s="84"/>
      <c r="D157" s="86"/>
      <c r="E157" s="86"/>
      <c r="F157" s="86"/>
      <c r="G157" s="85"/>
      <c r="H157" s="85"/>
      <c r="I157" s="85"/>
      <c r="J157" s="85"/>
      <c r="K157" s="85"/>
      <c r="L157" s="85"/>
      <c r="M157" s="108"/>
    </row>
    <row r="158" spans="1:13">
      <c r="A158" s="84"/>
      <c r="B158" s="85"/>
      <c r="C158" s="84"/>
      <c r="D158" s="86"/>
      <c r="E158" s="86"/>
      <c r="F158" s="86"/>
      <c r="G158" s="85"/>
      <c r="H158" s="85"/>
      <c r="I158" s="85"/>
      <c r="J158" s="85"/>
      <c r="K158" s="85"/>
      <c r="L158" s="85"/>
      <c r="M158" s="108"/>
    </row>
    <row r="159" spans="1:13">
      <c r="A159" s="84"/>
      <c r="B159" s="85"/>
      <c r="C159" s="84"/>
      <c r="D159" s="86"/>
      <c r="E159" s="86"/>
      <c r="F159" s="86"/>
      <c r="G159" s="85"/>
      <c r="H159" s="85"/>
      <c r="I159" s="85"/>
      <c r="J159" s="85"/>
      <c r="K159" s="85"/>
      <c r="L159" s="85"/>
      <c r="M159" s="108"/>
    </row>
    <row r="160" spans="1:13">
      <c r="A160" s="84"/>
      <c r="B160" s="85"/>
      <c r="C160" s="84"/>
      <c r="D160" s="86"/>
      <c r="E160" s="86"/>
      <c r="F160" s="86"/>
      <c r="G160" s="85"/>
      <c r="H160" s="85"/>
      <c r="I160" s="85"/>
      <c r="J160" s="85"/>
      <c r="K160" s="85"/>
      <c r="L160" s="85"/>
      <c r="M160" s="108"/>
    </row>
    <row r="161" spans="1:13">
      <c r="A161" s="84"/>
      <c r="B161" s="85"/>
      <c r="C161" s="84"/>
      <c r="D161" s="86"/>
      <c r="E161" s="86"/>
      <c r="F161" s="86"/>
      <c r="G161" s="85"/>
      <c r="H161" s="85"/>
      <c r="I161" s="85"/>
      <c r="J161" s="85"/>
      <c r="K161" s="85"/>
      <c r="L161" s="85"/>
      <c r="M161" s="108"/>
    </row>
    <row r="162" spans="1:13">
      <c r="A162" s="84"/>
      <c r="B162" s="85"/>
      <c r="C162" s="84"/>
      <c r="D162" s="86"/>
      <c r="E162" s="86"/>
      <c r="F162" s="86"/>
      <c r="G162" s="85"/>
      <c r="H162" s="85"/>
      <c r="I162" s="85"/>
      <c r="J162" s="85"/>
      <c r="K162" s="85"/>
      <c r="L162" s="85"/>
      <c r="M162" s="108"/>
    </row>
    <row r="163" spans="1:13">
      <c r="A163" s="84"/>
      <c r="B163" s="85"/>
      <c r="C163" s="84"/>
      <c r="D163" s="86"/>
      <c r="E163" s="86"/>
      <c r="F163" s="86"/>
      <c r="G163" s="85"/>
      <c r="H163" s="85"/>
      <c r="I163" s="85"/>
      <c r="J163" s="85"/>
      <c r="K163" s="85"/>
      <c r="L163" s="85"/>
      <c r="M163" s="108"/>
    </row>
  </sheetData>
  <mergeCells count="31">
    <mergeCell ref="B119:L119"/>
    <mergeCell ref="B69:C69"/>
    <mergeCell ref="B84:C84"/>
    <mergeCell ref="B86:C86"/>
    <mergeCell ref="B88:C88"/>
    <mergeCell ref="B90:C90"/>
    <mergeCell ref="C116:L116"/>
    <mergeCell ref="K12:L13"/>
    <mergeCell ref="F13:G13"/>
    <mergeCell ref="A15:A16"/>
    <mergeCell ref="B15:B16"/>
    <mergeCell ref="C15:F15"/>
    <mergeCell ref="G15:H15"/>
    <mergeCell ref="I15:J15"/>
    <mergeCell ref="K15:L15"/>
    <mergeCell ref="A10:A13"/>
    <mergeCell ref="B10:B13"/>
    <mergeCell ref="F10:G10"/>
    <mergeCell ref="F11:G11"/>
    <mergeCell ref="F12:G12"/>
    <mergeCell ref="K4:L11"/>
    <mergeCell ref="A1:B9"/>
    <mergeCell ref="C1:J1"/>
    <mergeCell ref="F7:G7"/>
    <mergeCell ref="F8:G8"/>
    <mergeCell ref="F9:G9"/>
    <mergeCell ref="F2:G2"/>
    <mergeCell ref="F3:G3"/>
    <mergeCell ref="F4:G4"/>
    <mergeCell ref="F5:G5"/>
    <mergeCell ref="F6:G6"/>
  </mergeCells>
  <conditionalFormatting sqref="F11:G11">
    <cfRule type="expression" dxfId="236" priority="23">
      <formula>$F$11&gt;0</formula>
    </cfRule>
  </conditionalFormatting>
  <conditionalFormatting sqref="F12:G12">
    <cfRule type="expression" dxfId="235" priority="22">
      <formula>$F$12&gt;0</formula>
    </cfRule>
  </conditionalFormatting>
  <conditionalFormatting sqref="F13:G13">
    <cfRule type="expression" dxfId="234" priority="21">
      <formula>$F$13&gt;0</formula>
    </cfRule>
  </conditionalFormatting>
  <conditionalFormatting sqref="J3">
    <cfRule type="expression" dxfId="233" priority="20">
      <formula>$J$3&gt;0</formula>
    </cfRule>
  </conditionalFormatting>
  <conditionalFormatting sqref="J4">
    <cfRule type="expression" dxfId="232" priority="19">
      <formula>$J$4&gt;0</formula>
    </cfRule>
  </conditionalFormatting>
  <conditionalFormatting sqref="J5">
    <cfRule type="expression" dxfId="231" priority="18">
      <formula>$J$5&gt;0</formula>
    </cfRule>
  </conditionalFormatting>
  <conditionalFormatting sqref="J6">
    <cfRule type="expression" dxfId="230" priority="17">
      <formula>$J$6&gt;0</formula>
    </cfRule>
  </conditionalFormatting>
  <conditionalFormatting sqref="J7">
    <cfRule type="expression" dxfId="229" priority="16">
      <formula>$J$7&gt;0</formula>
    </cfRule>
  </conditionalFormatting>
  <conditionalFormatting sqref="J8">
    <cfRule type="expression" dxfId="228" priority="15">
      <formula>$J$8&gt;0</formula>
    </cfRule>
  </conditionalFormatting>
  <conditionalFormatting sqref="J9">
    <cfRule type="expression" dxfId="227" priority="14">
      <formula>$J$9&gt;0</formula>
    </cfRule>
  </conditionalFormatting>
  <conditionalFormatting sqref="J10">
    <cfRule type="expression" dxfId="226" priority="12">
      <formula>$J$10&gt;0</formula>
    </cfRule>
    <cfRule type="expression" dxfId="225" priority="13">
      <formula>$J$10&gt;0</formula>
    </cfRule>
  </conditionalFormatting>
  <conditionalFormatting sqref="J11">
    <cfRule type="expression" dxfId="224" priority="11">
      <formula>$J$11&gt;0</formula>
    </cfRule>
  </conditionalFormatting>
  <conditionalFormatting sqref="J12">
    <cfRule type="expression" dxfId="223" priority="10">
      <formula>$J$12&gt;0</formula>
    </cfRule>
  </conditionalFormatting>
  <conditionalFormatting sqref="F4:G4">
    <cfRule type="expression" dxfId="222" priority="9">
      <formula>$F$4=" "</formula>
    </cfRule>
  </conditionalFormatting>
  <conditionalFormatting sqref="F6:G6">
    <cfRule type="expression" dxfId="221" priority="8">
      <formula>$F$6=" "</formula>
    </cfRule>
  </conditionalFormatting>
  <conditionalFormatting sqref="I17:I19">
    <cfRule type="expression" dxfId="220" priority="7">
      <formula>I17&gt;G17</formula>
    </cfRule>
  </conditionalFormatting>
  <conditionalFormatting sqref="I61 I63">
    <cfRule type="expression" dxfId="219" priority="6">
      <formula>I61&gt;G61</formula>
    </cfRule>
  </conditionalFormatting>
  <conditionalFormatting sqref="I71 I80">
    <cfRule type="expression" dxfId="218" priority="5">
      <formula>I71&gt;G71</formula>
    </cfRule>
  </conditionalFormatting>
  <conditionalFormatting sqref="I20:I60 I72:I78">
    <cfRule type="expression" dxfId="217" priority="4">
      <formula>$K20&gt;$G20</formula>
    </cfRule>
  </conditionalFormatting>
  <conditionalFormatting sqref="I62">
    <cfRule type="expression" dxfId="216" priority="3">
      <formula>I62&gt;G62</formula>
    </cfRule>
  </conditionalFormatting>
  <conditionalFormatting sqref="I79">
    <cfRule type="expression" dxfId="215" priority="2">
      <formula>I79&gt;G79</formula>
    </cfRule>
  </conditionalFormatting>
  <conditionalFormatting sqref="F110">
    <cfRule type="expression" dxfId="214" priority="1">
      <formula>$F$110&lt;&gt;$L$91</formula>
    </cfRule>
  </conditionalFormatting>
  <printOptions horizontalCentered="1"/>
  <pageMargins left="0.43307086614173229" right="0.43307086614173229" top="0.59055118110236227" bottom="0.59055118110236227" header="0.31496062992125984" footer="0.31496062992125984"/>
  <pageSetup scale="64" orientation="landscape" r:id="rId1"/>
  <headerFooter>
    <oddFooter>&amp;C&amp;"-,Cursiva"&amp;10&amp;A&amp;R&amp;"-,Cursiva"&amp;10Página &amp;P de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A1:M164"/>
  <sheetViews>
    <sheetView topLeftCell="A39" zoomScaleNormal="100" workbookViewId="0">
      <selection activeCell="K57" sqref="K57"/>
    </sheetView>
  </sheetViews>
  <sheetFormatPr baseColWidth="10" defaultColWidth="13.7109375" defaultRowHeight="12"/>
  <cols>
    <col min="1" max="1" width="7.7109375" style="81" customWidth="1"/>
    <col min="2" max="2" width="54.5703125" style="82" customWidth="1"/>
    <col min="3" max="3" width="5.7109375" style="81" customWidth="1"/>
    <col min="4" max="4" width="9.140625" style="83" customWidth="1"/>
    <col min="5" max="5" width="14.7109375" style="83" customWidth="1"/>
    <col min="6" max="6" width="15.85546875" style="83" customWidth="1"/>
    <col min="7" max="7" width="13.42578125" style="82" customWidth="1"/>
    <col min="8" max="8" width="14.7109375" style="82" customWidth="1"/>
    <col min="9" max="9" width="13.28515625" style="82" customWidth="1"/>
    <col min="10" max="10" width="21.28515625" style="82" customWidth="1"/>
    <col min="11" max="12" width="15.28515625" style="82" customWidth="1"/>
    <col min="13" max="13" width="4.7109375" style="82" customWidth="1"/>
    <col min="14" max="16384" width="13.7109375" style="82"/>
  </cols>
  <sheetData>
    <row r="1" spans="1:12" ht="14.45" customHeight="1">
      <c r="A1" s="1049" t="s">
        <v>246</v>
      </c>
      <c r="B1" s="1050"/>
      <c r="C1" s="1051" t="str">
        <f>"MUNICIPIO DE "&amp;DATOS!E8</f>
        <v xml:space="preserve">MUNICIPIO DE </v>
      </c>
      <c r="D1" s="1052"/>
      <c r="E1" s="1052"/>
      <c r="F1" s="1052"/>
      <c r="G1" s="1052"/>
      <c r="H1" s="1052"/>
      <c r="I1" s="1052"/>
      <c r="J1" s="1052"/>
      <c r="K1" s="129" t="s">
        <v>90</v>
      </c>
      <c r="L1" s="130" t="s">
        <v>84</v>
      </c>
    </row>
    <row r="2" spans="1:12" ht="12" customHeight="1">
      <c r="A2" s="1050"/>
      <c r="B2" s="1050"/>
      <c r="C2" s="103" t="str">
        <f>DATOS!E10&amp;" No.:"</f>
        <v xml:space="preserve"> No.:</v>
      </c>
      <c r="D2" s="104"/>
      <c r="E2" s="105"/>
      <c r="F2" s="1053" t="str">
        <f>DATOS!E12&amp;" "&amp;DATOS!G12&amp;" "&amp;DATOS!I12</f>
        <v xml:space="preserve">  </v>
      </c>
      <c r="G2" s="1055"/>
      <c r="H2" s="103" t="s">
        <v>184</v>
      </c>
      <c r="I2" s="105"/>
      <c r="J2" s="109">
        <f>DATOS!E52</f>
        <v>0</v>
      </c>
      <c r="K2" s="129" t="s">
        <v>89</v>
      </c>
      <c r="L2" s="130" t="s">
        <v>248</v>
      </c>
    </row>
    <row r="3" spans="1:12" ht="12" customHeight="1">
      <c r="A3" s="1050"/>
      <c r="B3" s="1050"/>
      <c r="C3" s="98" t="s">
        <v>4</v>
      </c>
      <c r="D3" s="99"/>
      <c r="E3" s="100"/>
      <c r="F3" s="1053">
        <f>DATOS!G16</f>
        <v>0</v>
      </c>
      <c r="G3" s="1055"/>
      <c r="H3" s="103" t="s">
        <v>236</v>
      </c>
      <c r="I3" s="105"/>
      <c r="J3" s="110">
        <f>DATOS!E72</f>
        <v>42428</v>
      </c>
      <c r="K3" s="129" t="s">
        <v>247</v>
      </c>
      <c r="L3" s="130" t="s">
        <v>249</v>
      </c>
    </row>
    <row r="4" spans="1:12" ht="12" customHeight="1">
      <c r="A4" s="1050"/>
      <c r="B4" s="1050"/>
      <c r="C4" s="98" t="s">
        <v>5</v>
      </c>
      <c r="D4" s="99"/>
      <c r="E4" s="100"/>
      <c r="F4" s="1053" t="str">
        <f>IF(DATOS!E16="Persona Jurídica",DATOS!G20," ")</f>
        <v xml:space="preserve"> </v>
      </c>
      <c r="G4" s="1055"/>
      <c r="H4" s="103" t="s">
        <v>241</v>
      </c>
      <c r="I4" s="105"/>
      <c r="J4" s="106">
        <f>DATOS!E74</f>
        <v>42459</v>
      </c>
      <c r="K4" s="1062" t="s">
        <v>377</v>
      </c>
      <c r="L4" s="1063"/>
    </row>
    <row r="5" spans="1:12" ht="12" customHeight="1">
      <c r="A5" s="1050"/>
      <c r="B5" s="1050"/>
      <c r="C5" s="98" t="s">
        <v>105</v>
      </c>
      <c r="D5" s="99"/>
      <c r="E5" s="100"/>
      <c r="F5" s="1053">
        <f>LOOKUP(C5,DATOS!C24:C30,DATOS!G24:G30)</f>
        <v>0</v>
      </c>
      <c r="G5" s="1055"/>
      <c r="H5" s="103" t="s">
        <v>237</v>
      </c>
      <c r="I5" s="105"/>
      <c r="J5" s="106">
        <f>DATOS!E78</f>
        <v>42491</v>
      </c>
      <c r="K5" s="1062"/>
      <c r="L5" s="1063"/>
    </row>
    <row r="6" spans="1:12" ht="12" customHeight="1">
      <c r="A6" s="1050"/>
      <c r="B6" s="1050"/>
      <c r="C6" s="98" t="s">
        <v>5</v>
      </c>
      <c r="D6" s="99"/>
      <c r="E6" s="100"/>
      <c r="F6" s="1053" t="str">
        <f>IF(DATOS!E24="Persona Jurídica",DATOS!G28," ")</f>
        <v xml:space="preserve"> </v>
      </c>
      <c r="G6" s="1055"/>
      <c r="H6" s="103" t="s">
        <v>242</v>
      </c>
      <c r="I6" s="105"/>
      <c r="J6" s="106">
        <f>DATOS!E80</f>
        <v>42916</v>
      </c>
      <c r="K6" s="1062"/>
      <c r="L6" s="1063"/>
    </row>
    <row r="7" spans="1:12" ht="12" customHeight="1">
      <c r="A7" s="1050"/>
      <c r="B7" s="1050"/>
      <c r="C7" s="98" t="s">
        <v>185</v>
      </c>
      <c r="D7" s="99"/>
      <c r="E7" s="100"/>
      <c r="F7" s="1041">
        <f>DATOS!E46</f>
        <v>0</v>
      </c>
      <c r="G7" s="1043"/>
      <c r="H7" s="103" t="s">
        <v>238</v>
      </c>
      <c r="I7" s="105"/>
      <c r="J7" s="106">
        <f>DATOS!E84</f>
        <v>42541</v>
      </c>
      <c r="K7" s="1062"/>
      <c r="L7" s="1063"/>
    </row>
    <row r="8" spans="1:12" ht="12" customHeight="1">
      <c r="A8" s="1050"/>
      <c r="B8" s="1050"/>
      <c r="C8" s="98" t="s">
        <v>77</v>
      </c>
      <c r="D8" s="99"/>
      <c r="E8" s="100"/>
      <c r="F8" s="1041">
        <f>DATOS!E60</f>
        <v>30000000</v>
      </c>
      <c r="G8" s="1043"/>
      <c r="H8" s="103" t="s">
        <v>243</v>
      </c>
      <c r="I8" s="105"/>
      <c r="J8" s="106">
        <f>DATOS!E86</f>
        <v>42546</v>
      </c>
      <c r="K8" s="1062"/>
      <c r="L8" s="1063"/>
    </row>
    <row r="9" spans="1:12" ht="12" customHeight="1">
      <c r="A9" s="1050"/>
      <c r="B9" s="1050"/>
      <c r="C9" s="98" t="s">
        <v>78</v>
      </c>
      <c r="D9" s="99"/>
      <c r="E9" s="100"/>
      <c r="F9" s="1041">
        <f>DATOS!E62</f>
        <v>0</v>
      </c>
      <c r="G9" s="1043"/>
      <c r="H9" s="103" t="s">
        <v>239</v>
      </c>
      <c r="I9" s="105"/>
      <c r="J9" s="106">
        <f>DATOS!E90</f>
        <v>0</v>
      </c>
      <c r="K9" s="1062"/>
      <c r="L9" s="1063"/>
    </row>
    <row r="10" spans="1:12" ht="12" customHeight="1">
      <c r="A10" s="1044" t="s">
        <v>8</v>
      </c>
      <c r="B10" s="1045">
        <f>DATOS!E38</f>
        <v>0</v>
      </c>
      <c r="C10" s="98" t="s">
        <v>186</v>
      </c>
      <c r="D10" s="99"/>
      <c r="E10" s="100"/>
      <c r="F10" s="1041">
        <f>F7+F8+F9</f>
        <v>30000000</v>
      </c>
      <c r="G10" s="1043"/>
      <c r="H10" s="103" t="s">
        <v>244</v>
      </c>
      <c r="I10" s="105"/>
      <c r="J10" s="106">
        <f>DATOS!E92</f>
        <v>0</v>
      </c>
      <c r="K10" s="1062"/>
      <c r="L10" s="1063"/>
    </row>
    <row r="11" spans="1:12" ht="12" customHeight="1">
      <c r="A11" s="1044"/>
      <c r="B11" s="1045"/>
      <c r="C11" s="98" t="s">
        <v>233</v>
      </c>
      <c r="D11" s="99"/>
      <c r="E11" s="100"/>
      <c r="F11" s="1046">
        <f>DATOS!E174</f>
        <v>42602</v>
      </c>
      <c r="G11" s="1048"/>
      <c r="H11" s="103" t="s">
        <v>240</v>
      </c>
      <c r="I11" s="105"/>
      <c r="J11" s="106"/>
      <c r="K11" s="1064"/>
      <c r="L11" s="1065"/>
    </row>
    <row r="12" spans="1:12" ht="12" customHeight="1">
      <c r="A12" s="1044"/>
      <c r="B12" s="1045"/>
      <c r="C12" s="98" t="s">
        <v>234</v>
      </c>
      <c r="D12" s="99"/>
      <c r="E12" s="100"/>
      <c r="F12" s="1046">
        <f>DATOS!E176</f>
        <v>0</v>
      </c>
      <c r="G12" s="1048"/>
      <c r="H12" s="103" t="s">
        <v>245</v>
      </c>
      <c r="I12" s="105"/>
      <c r="J12" s="106"/>
      <c r="K12" s="1073">
        <f>DATOS!E156</f>
        <v>0</v>
      </c>
      <c r="L12" s="1074"/>
    </row>
    <row r="13" spans="1:12" ht="12" customHeight="1">
      <c r="A13" s="1044"/>
      <c r="B13" s="1045"/>
      <c r="C13" s="98" t="s">
        <v>235</v>
      </c>
      <c r="D13" s="99"/>
      <c r="E13" s="100"/>
      <c r="F13" s="1046">
        <f>DATOS!E178</f>
        <v>0</v>
      </c>
      <c r="G13" s="1048"/>
      <c r="H13" s="103" t="s">
        <v>72</v>
      </c>
      <c r="I13" s="105"/>
      <c r="J13" s="107">
        <f>DATOS!E132</f>
        <v>614</v>
      </c>
      <c r="K13" s="1075"/>
      <c r="L13" s="1076"/>
    </row>
    <row r="14" spans="1:12">
      <c r="A14" s="84"/>
      <c r="B14" s="85"/>
      <c r="C14" s="84"/>
      <c r="D14" s="86"/>
      <c r="E14" s="86"/>
      <c r="F14" s="86"/>
      <c r="G14" s="85"/>
      <c r="H14" s="85"/>
      <c r="I14" s="85"/>
      <c r="J14" s="85"/>
      <c r="K14" s="85"/>
      <c r="L14" s="85"/>
    </row>
    <row r="15" spans="1:12">
      <c r="A15" s="1040" t="s">
        <v>181</v>
      </c>
      <c r="B15" s="1040" t="s">
        <v>115</v>
      </c>
      <c r="C15" s="1147" t="s">
        <v>182</v>
      </c>
      <c r="D15" s="1148"/>
      <c r="E15" s="1148"/>
      <c r="F15" s="1149"/>
      <c r="G15" s="1139" t="s">
        <v>187</v>
      </c>
      <c r="H15" s="1140"/>
      <c r="I15" s="1141" t="s">
        <v>188</v>
      </c>
      <c r="J15" s="1142"/>
      <c r="K15" s="1143" t="s">
        <v>189</v>
      </c>
      <c r="L15" s="1143"/>
    </row>
    <row r="16" spans="1:12">
      <c r="A16" s="1040"/>
      <c r="B16" s="1040"/>
      <c r="C16" s="319" t="s">
        <v>164</v>
      </c>
      <c r="D16" s="96" t="s">
        <v>118</v>
      </c>
      <c r="E16" s="96" t="s">
        <v>180</v>
      </c>
      <c r="F16" s="96" t="s">
        <v>117</v>
      </c>
      <c r="G16" s="101" t="s">
        <v>317</v>
      </c>
      <c r="H16" s="101" t="s">
        <v>117</v>
      </c>
      <c r="I16" s="131" t="s">
        <v>317</v>
      </c>
      <c r="J16" s="131" t="s">
        <v>117</v>
      </c>
      <c r="K16" s="320" t="s">
        <v>317</v>
      </c>
      <c r="L16" s="320" t="s">
        <v>117</v>
      </c>
    </row>
    <row r="17" spans="1:13">
      <c r="A17" s="87" t="str">
        <f>IF(LOOKUP(M17,PPTO!$J$8:$J$269,PPTO!A$8:A$269)=0," ",LOOKUP(M17,PPTO!$J$8:$J$269,PPTO!A$8:A$269))</f>
        <v xml:space="preserve"> </v>
      </c>
      <c r="B17" s="88" t="str">
        <f>IF(LOOKUP(M17,PPTO!$J$8:J$269,PPTO!B$8:B$269)=0," ",LOOKUP(M17,PPTO!$J$8:J$269,PPTO!B$8:B$269))</f>
        <v xml:space="preserve"> </v>
      </c>
      <c r="C17" s="89" t="str">
        <f>IF(LOOKUP(M17,PPTO!$J$8:$J$269,PPTO!D$8:D$269)=0," ",LOOKUP(M17,PPTO!$J$8:$J$269,PPTO!D$8:D$269))</f>
        <v xml:space="preserve"> </v>
      </c>
      <c r="D17" s="90" t="str">
        <f>IF(LOOKUP(M17,PPTO!$J$8:$J$269,PPTO!D$8:D$269)=0," ",LOOKUP(M17,PPTO!$J$8:$J$269,PPTO!D$8:D$269))</f>
        <v xml:space="preserve"> </v>
      </c>
      <c r="E17" s="90" t="str">
        <f>IF(LOOKUP(M17,PPTO!$J$8:$J$269,PPTO!E$8:E$269)=0," ",LOOKUP(M17,PPTO!$J$8:$J$269,PPTO!E$8:E$269))</f>
        <v xml:space="preserve"> </v>
      </c>
      <c r="F17" s="90" t="str">
        <f>IF(LOOKUP(M17,PPTO!$J$8:$J$269,PPTO!F$8:F$269)=0," ",LOOKUP(M17,PPTO!$J$8:$J$269,PPTO!F$8:F$269))</f>
        <v xml:space="preserve"> </v>
      </c>
      <c r="G17" s="178"/>
      <c r="H17" s="102"/>
      <c r="I17" s="174"/>
      <c r="J17" s="102"/>
      <c r="K17" s="102"/>
      <c r="L17" s="102"/>
      <c r="M17" s="108">
        <v>1</v>
      </c>
    </row>
    <row r="18" spans="1:13">
      <c r="A18" s="87" t="str">
        <f>IF(LOOKUP(M18,PPTO!$J$8:$J$269,PPTO!A$8:A$269)=0," ",LOOKUP(M18,PPTO!$J$8:$J$269,PPTO!A$8:A$269))</f>
        <v xml:space="preserve"> </v>
      </c>
      <c r="B18" s="88" t="str">
        <f>IF(LOOKUP(M18,PPTO!$J$8:J$269,PPTO!B$8:B$269)=0," ",LOOKUP(M18,PPTO!$J$8:J$269,PPTO!B$8:B$269))</f>
        <v>PRESUPUESTO OBRA CIVIL</v>
      </c>
      <c r="C18" s="89" t="str">
        <f>IF(LOOKUP(M18,PPTO!$J$8:$J$269,PPTO!D$8:D$269)=0," ",LOOKUP(M18,PPTO!$J$8:$J$269,PPTO!D$8:D$269))</f>
        <v xml:space="preserve"> </v>
      </c>
      <c r="D18" s="90" t="str">
        <f>IF(LOOKUP(M18,PPTO!$J$8:$J$269,PPTO!D$8:D$269)=0," ",LOOKUP(M18,PPTO!$J$8:$J$269,PPTO!D$8:D$269))</f>
        <v xml:space="preserve"> </v>
      </c>
      <c r="E18" s="90" t="str">
        <f>IF(LOOKUP(M18,PPTO!$J$8:$J$269,PPTO!E$8:E$269)=0," ",LOOKUP(M18,PPTO!$J$8:$J$269,PPTO!E$8:E$269))</f>
        <v xml:space="preserve"> </v>
      </c>
      <c r="F18" s="90" t="str">
        <f>IF(LOOKUP(M18,PPTO!$J$8:$J$269,PPTO!H$8:H$269)=0," ",LOOKUP(M18,PPTO!$J$8:$J$269,PPTO!H$8:H$269))</f>
        <v xml:space="preserve"> </v>
      </c>
      <c r="G18" s="178"/>
      <c r="H18" s="102"/>
      <c r="I18" s="174"/>
      <c r="J18" s="102"/>
      <c r="K18" s="102"/>
      <c r="L18" s="102"/>
      <c r="M18" s="108">
        <f>M17+1</f>
        <v>2</v>
      </c>
    </row>
    <row r="19" spans="1:13">
      <c r="A19" s="92">
        <f>IF(LOOKUP(M19,PPTO!$J$8:$J$269,PPTO!A$8:A$269)=0," ",LOOKUP(M19,PPTO!$J$8:$J$269,PPTO!A$8:A$269))</f>
        <v>1</v>
      </c>
      <c r="B19" s="88" t="str">
        <f>IF(LOOKUP(M19,PPTO!$J$8:J$269,PPTO!B$8:B$269)=0," ",LOOKUP(M19,PPTO!$J$8:J$269,PPTO!B$8:B$269))</f>
        <v>PRELIMINARES</v>
      </c>
      <c r="C19" s="89" t="str">
        <f>IF(LOOKUP(M19,PPTO!$J$8:$J$269,PPTO!D$8:D$269)=0," ",LOOKUP(M19,PPTO!$J$8:$J$269,PPTO!D$8:D$269))</f>
        <v xml:space="preserve"> </v>
      </c>
      <c r="D19" s="90" t="str">
        <f>IF(LOOKUP(M19,PPTO!$J$8:$J$269,PPTO!E$8:E$269)=0," ",LOOKUP(M19,PPTO!$J$8:$J$269,PPTO!E$8:E$269))</f>
        <v xml:space="preserve"> </v>
      </c>
      <c r="E19" s="90" t="str">
        <f>IF(LOOKUP(M19,PPTO!$J$8:$J$269,PPTO!F$8:F$269)=0," ",LOOKUP(M19,PPTO!$J$8:$J$269,PPTO!F$8:F$269))</f>
        <v xml:space="preserve"> </v>
      </c>
      <c r="F19" s="90" t="str">
        <f>IF(LOOKUP(M19,PPTO!$J$8:$J$269,PPTO!H$8:H$269)=0," ",LOOKUP(M19,PPTO!$J$8:$J$269,PPTO!H$8:H$269))</f>
        <v xml:space="preserve"> </v>
      </c>
      <c r="G19" s="178"/>
      <c r="H19" s="102"/>
      <c r="I19" s="174"/>
      <c r="J19" s="102"/>
      <c r="K19" s="102"/>
      <c r="L19" s="102"/>
      <c r="M19" s="108">
        <f t="shared" ref="M19:M60" si="0">M18+1</f>
        <v>3</v>
      </c>
    </row>
    <row r="20" spans="1:13">
      <c r="A20" s="87" t="str">
        <f>IF(LOOKUP(M20,PPTO!$J$8:$J$269,PPTO!A$8:A$269)=0," ",LOOKUP(M20,PPTO!$J$8:$J$269,PPTO!A$8:A$269))</f>
        <v>1.02</v>
      </c>
      <c r="B20" s="91" t="str">
        <f>IF(LOOKUP(M20,PPTO!$J$8:J$269,PPTO!B$8:B$269)=0," ",LOOKUP(M20,PPTO!$J$8:J$269,PPTO!B$8:B$269))</f>
        <v xml:space="preserve"> </v>
      </c>
      <c r="C20" s="89" t="str">
        <f>IF(LOOKUP(M20,PPTO!$J$8:$J$269,PPTO!D$8:D$269)=0," ",LOOKUP(M20,PPTO!$J$8:$J$269,PPTO!D$8:D$269))</f>
        <v>ML</v>
      </c>
      <c r="D20" s="90" t="str">
        <f>IF(LOOKUP(M20,PPTO!$J$8:$J$269,PPTO!E$8:E$269)=0," ",LOOKUP(M20,PPTO!$J$8:$J$269,PPTO!E$8:E$269))</f>
        <v xml:space="preserve"> </v>
      </c>
      <c r="E20" s="90" t="str">
        <f>IF(LOOKUP(M20,PPTO!$J$8:$J$269,PPTO!F$8:F$269)=0," ",LOOKUP(M20,PPTO!$J$8:$J$269,PPTO!F$8:F$269))</f>
        <v xml:space="preserve"> </v>
      </c>
      <c r="F20" s="90" t="str">
        <f>IF(LOOKUP(M20,PPTO!$J$8:$J$269,PPTO!H$8:H$269)=0," ",LOOKUP(M20,PPTO!$J$8:$J$269,PPTO!H$8:H$269))</f>
        <v xml:space="preserve"> </v>
      </c>
      <c r="G20" s="178">
        <v>15000</v>
      </c>
      <c r="H20" s="102" t="e">
        <f>ROUND(G20*E20,0)</f>
        <v>#VALUE!</v>
      </c>
      <c r="I20" s="174">
        <v>0</v>
      </c>
      <c r="J20" s="102" t="e">
        <f>ROUND(I20*E20,0)</f>
        <v>#VALUE!</v>
      </c>
      <c r="K20" s="102" t="e">
        <f>I20+'ACTA PARCIAL No.7'!K20</f>
        <v>#REF!</v>
      </c>
      <c r="L20" s="102" t="e">
        <f>ROUND(K20*E20,0)</f>
        <v>#REF!</v>
      </c>
      <c r="M20" s="108">
        <f t="shared" si="0"/>
        <v>4</v>
      </c>
    </row>
    <row r="21" spans="1:13">
      <c r="A21" s="87">
        <f>IF(LOOKUP(M21,PPTO!$J$8:$J$269,PPTO!A$8:A$269)=0," ",LOOKUP(M21,PPTO!$J$8:$J$269,PPTO!A$8:A$269))</f>
        <v>2</v>
      </c>
      <c r="B21" s="91" t="str">
        <f>IF(LOOKUP(M21,PPTO!$J$8:J$269,PPTO!B$8:B$269)=0," ",LOOKUP(M21,PPTO!$J$8:J$269,PPTO!B$8:B$269))</f>
        <v>DEMOLICION Y ROTURAS</v>
      </c>
      <c r="C21" s="89" t="str">
        <f>IF(LOOKUP(M21,PPTO!$J$8:$J$269,PPTO!D$8:D$269)=0," ",LOOKUP(M21,PPTO!$J$8:$J$269,PPTO!D$8:D$269))</f>
        <v xml:space="preserve"> </v>
      </c>
      <c r="D21" s="90" t="str">
        <f>IF(LOOKUP(M21,PPTO!$J$8:$J$269,PPTO!E$8:E$269)=0," ",LOOKUP(M21,PPTO!$J$8:$J$269,PPTO!E$8:E$269))</f>
        <v xml:space="preserve"> </v>
      </c>
      <c r="E21" s="90" t="str">
        <f>IF(LOOKUP(M21,PPTO!$J$8:$J$269,PPTO!F$8:F$269)=0," ",LOOKUP(M21,PPTO!$J$8:$J$269,PPTO!F$8:F$269))</f>
        <v xml:space="preserve"> </v>
      </c>
      <c r="F21" s="90" t="str">
        <f>IF(LOOKUP(M21,PPTO!$J$8:$J$269,PPTO!H$8:H$269)=0," ",LOOKUP(M21,PPTO!$J$8:$J$269,PPTO!H$8:H$269))</f>
        <v xml:space="preserve"> </v>
      </c>
      <c r="G21" s="178"/>
      <c r="H21" s="102"/>
      <c r="I21" s="174"/>
      <c r="J21" s="102"/>
      <c r="K21" s="102">
        <f>I21+'ACTA PARCIAL No.7'!K21</f>
        <v>0</v>
      </c>
      <c r="L21" s="102"/>
      <c r="M21" s="108">
        <f t="shared" si="0"/>
        <v>5</v>
      </c>
    </row>
    <row r="22" spans="1:13">
      <c r="A22" s="87" t="str">
        <f>IF(LOOKUP(M22,PPTO!$J$8:$J$269,PPTO!A$8:A$269)=0," ",LOOKUP(M22,PPTO!$J$8:$J$269,PPTO!A$8:A$269))</f>
        <v>2.01</v>
      </c>
      <c r="B22" s="91" t="str">
        <f>IF(LOOKUP(M22,PPTO!$J$8:J$269,PPTO!B$8:B$269)=0," ",LOOKUP(M22,PPTO!$J$8:J$269,PPTO!B$8:B$269))</f>
        <v xml:space="preserve"> </v>
      </c>
      <c r="C22" s="89" t="str">
        <f>IF(LOOKUP(M22,PPTO!$J$8:$J$269,PPTO!D$8:D$269)=0," ",LOOKUP(M22,PPTO!$J$8:$J$269,PPTO!D$8:D$269))</f>
        <v>ML</v>
      </c>
      <c r="D22" s="90" t="str">
        <f>IF(LOOKUP(M22,PPTO!$J$8:$J$269,PPTO!E$8:E$269)=0," ",LOOKUP(M22,PPTO!$J$8:$J$269,PPTO!E$8:E$269))</f>
        <v xml:space="preserve"> </v>
      </c>
      <c r="E22" s="90" t="str">
        <f>IF(LOOKUP(M22,PPTO!$J$8:$J$269,PPTO!F$8:F$269)=0," ",LOOKUP(M22,PPTO!$J$8:$J$269,PPTO!F$8:F$269))</f>
        <v xml:space="preserve"> </v>
      </c>
      <c r="F22" s="90" t="str">
        <f>IF(LOOKUP(M22,PPTO!$J$8:$J$269,PPTO!H$8:H$269)=0," ",LOOKUP(M22,PPTO!$J$8:$J$269,PPTO!H$8:H$269))</f>
        <v xml:space="preserve"> </v>
      </c>
      <c r="G22" s="178">
        <v>14696</v>
      </c>
      <c r="H22" s="102" t="e">
        <f t="shared" ref="H22:H60" si="1">ROUND(G22*E22,0)</f>
        <v>#VALUE!</v>
      </c>
      <c r="I22" s="174">
        <v>0</v>
      </c>
      <c r="J22" s="102" t="e">
        <f t="shared" ref="J22:J60" si="2">ROUND(I22*E22,0)</f>
        <v>#VALUE!</v>
      </c>
      <c r="K22" s="102" t="e">
        <f>I22+'ACTA PARCIAL No.7'!K22</f>
        <v>#REF!</v>
      </c>
      <c r="L22" s="102" t="e">
        <f t="shared" ref="L22:L60" si="3">ROUND(K22*E22,0)</f>
        <v>#REF!</v>
      </c>
      <c r="M22" s="108">
        <f t="shared" si="0"/>
        <v>6</v>
      </c>
    </row>
    <row r="23" spans="1:13">
      <c r="A23" s="87" t="str">
        <f>IF(LOOKUP(M23,PPTO!$J$8:$J$269,PPTO!A$8:A$269)=0," ",LOOKUP(M23,PPTO!$J$8:$J$269,PPTO!A$8:A$269))</f>
        <v>2.02</v>
      </c>
      <c r="B23" s="91" t="str">
        <f>IF(LOOKUP(M23,PPTO!$J$8:J$269,PPTO!B$8:B$269)=0," ",LOOKUP(M23,PPTO!$J$8:J$269,PPTO!B$8:B$269))</f>
        <v xml:space="preserve"> </v>
      </c>
      <c r="C23" s="89" t="str">
        <f>IF(LOOKUP(M23,PPTO!$J$8:$J$269,PPTO!D$8:D$269)=0," ",LOOKUP(M23,PPTO!$J$8:$J$269,PPTO!D$8:D$269))</f>
        <v>M2</v>
      </c>
      <c r="D23" s="90" t="str">
        <f>IF(LOOKUP(M23,PPTO!$J$8:$J$269,PPTO!E$8:E$269)=0," ",LOOKUP(M23,PPTO!$J$8:$J$269,PPTO!E$8:E$269))</f>
        <v xml:space="preserve"> </v>
      </c>
      <c r="E23" s="90" t="str">
        <f>IF(LOOKUP(M23,PPTO!$J$8:$J$269,PPTO!F$8:F$269)=0," ",LOOKUP(M23,PPTO!$J$8:$J$269,PPTO!F$8:F$269))</f>
        <v xml:space="preserve"> </v>
      </c>
      <c r="F23" s="90" t="str">
        <f>IF(LOOKUP(M23,PPTO!$J$8:$J$269,PPTO!H$8:H$269)=0," ",LOOKUP(M23,PPTO!$J$8:$J$269,PPTO!H$8:H$269))</f>
        <v xml:space="preserve"> </v>
      </c>
      <c r="G23" s="178">
        <v>4134</v>
      </c>
      <c r="H23" s="102" t="e">
        <f t="shared" si="1"/>
        <v>#VALUE!</v>
      </c>
      <c r="I23" s="174">
        <v>0</v>
      </c>
      <c r="J23" s="102" t="e">
        <f t="shared" si="2"/>
        <v>#VALUE!</v>
      </c>
      <c r="K23" s="102" t="e">
        <f>I23+'ACTA PARCIAL No.7'!K23</f>
        <v>#REF!</v>
      </c>
      <c r="L23" s="102" t="e">
        <f t="shared" si="3"/>
        <v>#REF!</v>
      </c>
      <c r="M23" s="108">
        <f t="shared" si="0"/>
        <v>7</v>
      </c>
    </row>
    <row r="24" spans="1:13">
      <c r="A24" s="87" t="str">
        <f>IF(LOOKUP(M24,PPTO!$J$8:$J$269,PPTO!A$8:A$269)=0," ",LOOKUP(M24,PPTO!$J$8:$J$269,PPTO!A$8:A$269))</f>
        <v>2.03</v>
      </c>
      <c r="B24" s="91" t="str">
        <f>IF(LOOKUP(M24,PPTO!$J$8:J$269,PPTO!B$8:B$269)=0," ",LOOKUP(M24,PPTO!$J$8:J$269,PPTO!B$8:B$269))</f>
        <v xml:space="preserve"> </v>
      </c>
      <c r="C24" s="89" t="str">
        <f>IF(LOOKUP(M24,PPTO!$J$8:$J$269,PPTO!D$8:D$269)=0," ",LOOKUP(M24,PPTO!$J$8:$J$269,PPTO!D$8:D$269))</f>
        <v>M2</v>
      </c>
      <c r="D24" s="90" t="str">
        <f>IF(LOOKUP(M24,PPTO!$J$8:$J$269,PPTO!E$8:E$269)=0," ",LOOKUP(M24,PPTO!$J$8:$J$269,PPTO!E$8:E$269))</f>
        <v xml:space="preserve"> </v>
      </c>
      <c r="E24" s="90" t="str">
        <f>IF(LOOKUP(M24,PPTO!$J$8:$J$269,PPTO!F$8:F$269)=0," ",LOOKUP(M24,PPTO!$J$8:$J$269,PPTO!F$8:F$269))</f>
        <v xml:space="preserve"> </v>
      </c>
      <c r="F24" s="90" t="str">
        <f>IF(LOOKUP(M24,PPTO!$J$8:$J$269,PPTO!H$8:H$269)=0," ",LOOKUP(M24,PPTO!$J$8:$J$269,PPTO!H$8:H$269))</f>
        <v xml:space="preserve"> </v>
      </c>
      <c r="G24" s="178">
        <v>14696</v>
      </c>
      <c r="H24" s="102" t="e">
        <f t="shared" si="1"/>
        <v>#VALUE!</v>
      </c>
      <c r="I24" s="174">
        <v>0</v>
      </c>
      <c r="J24" s="102" t="e">
        <f t="shared" si="2"/>
        <v>#VALUE!</v>
      </c>
      <c r="K24" s="102" t="e">
        <f>I24+'ACTA PARCIAL No.7'!K24</f>
        <v>#REF!</v>
      </c>
      <c r="L24" s="102" t="e">
        <f t="shared" si="3"/>
        <v>#REF!</v>
      </c>
      <c r="M24" s="108">
        <f t="shared" si="0"/>
        <v>8</v>
      </c>
    </row>
    <row r="25" spans="1:13">
      <c r="A25" s="87" t="str">
        <f>IF(LOOKUP(M25,PPTO!$J$8:$J$269,PPTO!A$8:A$269)=0," ",LOOKUP(M25,PPTO!$J$8:$J$269,PPTO!A$8:A$269))</f>
        <v>2.04</v>
      </c>
      <c r="B25" s="91" t="str">
        <f>IF(LOOKUP(M25,PPTO!$J$8:J$269,PPTO!B$8:B$269)=0," ",LOOKUP(M25,PPTO!$J$8:J$269,PPTO!B$8:B$269))</f>
        <v xml:space="preserve"> </v>
      </c>
      <c r="C25" s="89" t="str">
        <f>IF(LOOKUP(M25,PPTO!$J$8:$J$269,PPTO!D$8:D$269)=0," ",LOOKUP(M25,PPTO!$J$8:$J$269,PPTO!D$8:D$269))</f>
        <v>UND</v>
      </c>
      <c r="D25" s="90" t="str">
        <f>IF(LOOKUP(M25,PPTO!$J$8:$J$269,PPTO!E$8:E$269)=0," ",LOOKUP(M25,PPTO!$J$8:$J$269,PPTO!E$8:E$269))</f>
        <v xml:space="preserve"> </v>
      </c>
      <c r="E25" s="90" t="str">
        <f>IF(LOOKUP(M25,PPTO!$J$8:$J$269,PPTO!F$8:F$269)=0," ",LOOKUP(M25,PPTO!$J$8:$J$269,PPTO!F$8:F$269))</f>
        <v xml:space="preserve"> </v>
      </c>
      <c r="F25" s="90" t="str">
        <f>IF(LOOKUP(M25,PPTO!$J$8:$J$269,PPTO!H$8:H$269)=0," ",LOOKUP(M25,PPTO!$J$8:$J$269,PPTO!H$8:H$269))</f>
        <v xml:space="preserve"> </v>
      </c>
      <c r="G25" s="178">
        <v>200</v>
      </c>
      <c r="H25" s="102" t="e">
        <f t="shared" si="1"/>
        <v>#VALUE!</v>
      </c>
      <c r="I25" s="174">
        <v>0</v>
      </c>
      <c r="J25" s="102" t="e">
        <f t="shared" si="2"/>
        <v>#VALUE!</v>
      </c>
      <c r="K25" s="102" t="e">
        <f>I25+'ACTA PARCIAL No.7'!K25</f>
        <v>#REF!</v>
      </c>
      <c r="L25" s="102" t="e">
        <f t="shared" si="3"/>
        <v>#REF!</v>
      </c>
      <c r="M25" s="108">
        <f t="shared" si="0"/>
        <v>9</v>
      </c>
    </row>
    <row r="26" spans="1:13">
      <c r="A26" s="87">
        <f>IF(LOOKUP(M26,PPTO!$J$8:$J$269,PPTO!A$8:A$269)=0," ",LOOKUP(M26,PPTO!$J$8:$J$269,PPTO!A$8:A$269))</f>
        <v>3</v>
      </c>
      <c r="B26" s="91" t="str">
        <f>IF(LOOKUP(M26,PPTO!$J$8:J$269,PPTO!B$8:B$269)=0," ",LOOKUP(M26,PPTO!$J$8:J$269,PPTO!B$8:B$269))</f>
        <v>MOVIMIENTOS DE TIERRA</v>
      </c>
      <c r="C26" s="89" t="str">
        <f>IF(LOOKUP(M26,PPTO!$J$8:$J$269,PPTO!D$8:D$269)=0," ",LOOKUP(M26,PPTO!$J$8:$J$269,PPTO!D$8:D$269))</f>
        <v xml:space="preserve"> </v>
      </c>
      <c r="D26" s="90" t="str">
        <f>IF(LOOKUP(M26,PPTO!$J$8:$J$269,PPTO!E$8:E$269)=0," ",LOOKUP(M26,PPTO!$J$8:$J$269,PPTO!E$8:E$269))</f>
        <v xml:space="preserve"> </v>
      </c>
      <c r="E26" s="90" t="str">
        <f>IF(LOOKUP(M26,PPTO!$J$8:$J$269,PPTO!F$8:F$269)=0," ",LOOKUP(M26,PPTO!$J$8:$J$269,PPTO!F$8:F$269))</f>
        <v xml:space="preserve"> </v>
      </c>
      <c r="F26" s="90" t="str">
        <f>IF(LOOKUP(M26,PPTO!$J$8:$J$269,PPTO!H$8:H$269)=0," ",LOOKUP(M26,PPTO!$J$8:$J$269,PPTO!H$8:H$269))</f>
        <v xml:space="preserve"> </v>
      </c>
      <c r="G26" s="178"/>
      <c r="H26" s="102"/>
      <c r="I26" s="174"/>
      <c r="J26" s="102"/>
      <c r="K26" s="102">
        <f>I26+'ACTA PARCIAL No.7'!K26</f>
        <v>0</v>
      </c>
      <c r="L26" s="102"/>
      <c r="M26" s="108">
        <f t="shared" si="0"/>
        <v>10</v>
      </c>
    </row>
    <row r="27" spans="1:13">
      <c r="A27" s="87" t="str">
        <f>IF(LOOKUP(M27,PPTO!$J$8:$J$269,PPTO!A$8:A$269)=0," ",LOOKUP(M27,PPTO!$J$8:$J$269,PPTO!A$8:A$269))</f>
        <v>3.01</v>
      </c>
      <c r="B27" s="91" t="str">
        <f>IF(LOOKUP(M27,PPTO!$J$8:J$269,PPTO!B$8:B$269)=0," ",LOOKUP(M27,PPTO!$J$8:J$269,PPTO!B$8:B$269))</f>
        <v xml:space="preserve"> </v>
      </c>
      <c r="C27" s="89" t="str">
        <f>IF(LOOKUP(M27,PPTO!$J$8:$J$269,PPTO!D$8:D$269)=0," ",LOOKUP(M27,PPTO!$J$8:$J$269,PPTO!D$8:D$269))</f>
        <v>M3</v>
      </c>
      <c r="D27" s="90" t="str">
        <f>IF(LOOKUP(M27,PPTO!$J$8:$J$269,PPTO!E$8:E$269)=0," ",LOOKUP(M27,PPTO!$J$8:$J$269,PPTO!E$8:E$269))</f>
        <v xml:space="preserve"> </v>
      </c>
      <c r="E27" s="90" t="str">
        <f>IF(LOOKUP(M27,PPTO!$J$8:$J$269,PPTO!F$8:F$269)=0," ",LOOKUP(M27,PPTO!$J$8:$J$269,PPTO!F$8:F$269))</f>
        <v xml:space="preserve"> </v>
      </c>
      <c r="F27" s="90" t="str">
        <f>IF(LOOKUP(M27,PPTO!$J$8:$J$269,PPTO!H$8:H$269)=0," ",LOOKUP(M27,PPTO!$J$8:$J$269,PPTO!H$8:H$269))</f>
        <v xml:space="preserve"> </v>
      </c>
      <c r="G27" s="178">
        <v>243</v>
      </c>
      <c r="H27" s="102" t="e">
        <f t="shared" si="1"/>
        <v>#VALUE!</v>
      </c>
      <c r="I27" s="174">
        <v>0</v>
      </c>
      <c r="J27" s="102" t="e">
        <f t="shared" si="2"/>
        <v>#VALUE!</v>
      </c>
      <c r="K27" s="102" t="e">
        <f>I27+'ACTA PARCIAL No.7'!K27</f>
        <v>#REF!</v>
      </c>
      <c r="L27" s="102" t="e">
        <f t="shared" si="3"/>
        <v>#REF!</v>
      </c>
      <c r="M27" s="108">
        <f t="shared" si="0"/>
        <v>11</v>
      </c>
    </row>
    <row r="28" spans="1:13">
      <c r="A28" s="87" t="str">
        <f>IF(LOOKUP(M28,PPTO!$J$8:$J$269,PPTO!A$8:A$269)=0," ",LOOKUP(M28,PPTO!$J$8:$J$269,PPTO!A$8:A$269))</f>
        <v>3.02</v>
      </c>
      <c r="B28" s="91" t="str">
        <f>IF(LOOKUP(M28,PPTO!$J$8:J$269,PPTO!B$8:B$269)=0," ",LOOKUP(M28,PPTO!$J$8:J$269,PPTO!B$8:B$269))</f>
        <v xml:space="preserve"> </v>
      </c>
      <c r="C28" s="89" t="str">
        <f>IF(LOOKUP(M28,PPTO!$J$8:$J$269,PPTO!D$8:D$269)=0," ",LOOKUP(M28,PPTO!$J$8:$J$269,PPTO!D$8:D$269))</f>
        <v>M3</v>
      </c>
      <c r="D28" s="90" t="str">
        <f>IF(LOOKUP(M28,PPTO!$J$8:$J$269,PPTO!E$8:E$269)=0," ",LOOKUP(M28,PPTO!$J$8:$J$269,PPTO!E$8:E$269))</f>
        <v xml:space="preserve"> </v>
      </c>
      <c r="E28" s="90" t="str">
        <f>IF(LOOKUP(M28,PPTO!$J$8:$J$269,PPTO!F$8:F$269)=0," ",LOOKUP(M28,PPTO!$J$8:$J$269,PPTO!F$8:F$269))</f>
        <v xml:space="preserve"> </v>
      </c>
      <c r="F28" s="90" t="str">
        <f>IF(LOOKUP(M28,PPTO!$J$8:$J$269,PPTO!H$8:H$269)=0," ",LOOKUP(M28,PPTO!$J$8:$J$269,PPTO!H$8:H$269))</f>
        <v xml:space="preserve"> </v>
      </c>
      <c r="G28" s="178">
        <v>2018.33</v>
      </c>
      <c r="H28" s="102" t="e">
        <f t="shared" si="1"/>
        <v>#VALUE!</v>
      </c>
      <c r="I28" s="174">
        <v>0</v>
      </c>
      <c r="J28" s="102" t="e">
        <f t="shared" si="2"/>
        <v>#VALUE!</v>
      </c>
      <c r="K28" s="102" t="e">
        <f>I28+'ACTA PARCIAL No.7'!K28</f>
        <v>#REF!</v>
      </c>
      <c r="L28" s="102" t="e">
        <f t="shared" si="3"/>
        <v>#REF!</v>
      </c>
      <c r="M28" s="108">
        <f>M27+1</f>
        <v>12</v>
      </c>
    </row>
    <row r="29" spans="1:13">
      <c r="A29" s="87" t="str">
        <f>IF(LOOKUP(M29,PPTO!$J$8:$J$269,PPTO!A$8:A$269)=0," ",LOOKUP(M29,PPTO!$J$8:$J$269,PPTO!A$8:A$269))</f>
        <v>3.03</v>
      </c>
      <c r="B29" s="91" t="str">
        <f>IF(LOOKUP(M29,PPTO!$J$8:J$269,PPTO!B$8:B$269)=0," ",LOOKUP(M29,PPTO!$J$8:J$269,PPTO!B$8:B$269))</f>
        <v xml:space="preserve"> </v>
      </c>
      <c r="C29" s="89" t="str">
        <f>IF(LOOKUP(M29,PPTO!$J$8:$J$269,PPTO!D$8:D$269)=0," ",LOOKUP(M29,PPTO!$J$8:$J$269,PPTO!D$8:D$269))</f>
        <v>M3</v>
      </c>
      <c r="D29" s="90" t="str">
        <f>IF(LOOKUP(M29,PPTO!$J$8:$J$269,PPTO!E$8:E$269)=0," ",LOOKUP(M29,PPTO!$J$8:$J$269,PPTO!E$8:E$269))</f>
        <v xml:space="preserve"> </v>
      </c>
      <c r="E29" s="90" t="str">
        <f>IF(LOOKUP(M29,PPTO!$J$8:$J$269,PPTO!F$8:F$269)=0," ",LOOKUP(M29,PPTO!$J$8:$J$269,PPTO!F$8:F$269))</f>
        <v xml:space="preserve"> </v>
      </c>
      <c r="F29" s="90" t="str">
        <f>IF(LOOKUP(M29,PPTO!$J$8:$J$269,PPTO!H$8:H$269)=0," ",LOOKUP(M29,PPTO!$J$8:$J$269,PPTO!H$8:H$269))</f>
        <v xml:space="preserve"> </v>
      </c>
      <c r="G29" s="178">
        <v>1587.38</v>
      </c>
      <c r="H29" s="102" t="e">
        <f t="shared" si="1"/>
        <v>#VALUE!</v>
      </c>
      <c r="I29" s="174">
        <v>0</v>
      </c>
      <c r="J29" s="102" t="e">
        <f t="shared" si="2"/>
        <v>#VALUE!</v>
      </c>
      <c r="K29" s="102" t="e">
        <f>I29+'ACTA PARCIAL No.7'!K29</f>
        <v>#REF!</v>
      </c>
      <c r="L29" s="102" t="e">
        <f t="shared" si="3"/>
        <v>#REF!</v>
      </c>
      <c r="M29" s="108">
        <f>M28+1</f>
        <v>13</v>
      </c>
    </row>
    <row r="30" spans="1:13">
      <c r="A30" s="87" t="str">
        <f>IF(LOOKUP(M30,PPTO!$J$8:$J$269,PPTO!A$8:A$269)=0," ",LOOKUP(M30,PPTO!$J$8:$J$269,PPTO!A$8:A$269))</f>
        <v>3.04</v>
      </c>
      <c r="B30" s="91" t="str">
        <f>IF(LOOKUP(M30,PPTO!$J$8:J$269,PPTO!B$8:B$269)=0," ",LOOKUP(M30,PPTO!$J$8:J$269,PPTO!B$8:B$269))</f>
        <v xml:space="preserve"> </v>
      </c>
      <c r="C30" s="89" t="str">
        <f>IF(LOOKUP(M30,PPTO!$J$8:$J$269,PPTO!D$8:D$269)=0," ",LOOKUP(M30,PPTO!$J$8:$J$269,PPTO!D$8:D$269))</f>
        <v>M3</v>
      </c>
      <c r="D30" s="90" t="str">
        <f>IF(LOOKUP(M30,PPTO!$J$8:$J$269,PPTO!E$8:E$269)=0," ",LOOKUP(M30,PPTO!$J$8:$J$269,PPTO!E$8:E$269))</f>
        <v xml:space="preserve"> </v>
      </c>
      <c r="E30" s="90" t="str">
        <f>IF(LOOKUP(M30,PPTO!$J$8:$J$269,PPTO!F$8:F$269)=0," ",LOOKUP(M30,PPTO!$J$8:$J$269,PPTO!F$8:F$269))</f>
        <v xml:space="preserve"> </v>
      </c>
      <c r="F30" s="90" t="str">
        <f>IF(LOOKUP(M30,PPTO!$J$8:$J$269,PPTO!H$8:H$269)=0," ",LOOKUP(M30,PPTO!$J$8:$J$269,PPTO!H$8:H$269))</f>
        <v xml:space="preserve"> </v>
      </c>
      <c r="G30" s="178">
        <v>21041</v>
      </c>
      <c r="H30" s="102" t="e">
        <f t="shared" si="1"/>
        <v>#VALUE!</v>
      </c>
      <c r="I30" s="174">
        <v>0</v>
      </c>
      <c r="J30" s="102" t="e">
        <f t="shared" si="2"/>
        <v>#VALUE!</v>
      </c>
      <c r="K30" s="102" t="e">
        <f>I30+'ACTA PARCIAL No.7'!K30</f>
        <v>#REF!</v>
      </c>
      <c r="L30" s="102" t="e">
        <f t="shared" si="3"/>
        <v>#REF!</v>
      </c>
      <c r="M30" s="108">
        <f t="shared" si="0"/>
        <v>14</v>
      </c>
    </row>
    <row r="31" spans="1:13">
      <c r="A31" s="87" t="str">
        <f>IF(LOOKUP(M31,PPTO!$J$8:$J$269,PPTO!A$8:A$269)=0," ",LOOKUP(M31,PPTO!$J$8:$J$269,PPTO!A$8:A$269))</f>
        <v>3.05</v>
      </c>
      <c r="B31" s="91" t="str">
        <f>IF(LOOKUP(M31,PPTO!$J$8:J$269,PPTO!B$8:B$269)=0," ",LOOKUP(M31,PPTO!$J$8:J$269,PPTO!B$8:B$269))</f>
        <v xml:space="preserve"> </v>
      </c>
      <c r="C31" s="89" t="str">
        <f>IF(LOOKUP(M31,PPTO!$J$8:$J$269,PPTO!D$8:D$269)=0," ",LOOKUP(M31,PPTO!$J$8:$J$269,PPTO!D$8:D$269))</f>
        <v>M3</v>
      </c>
      <c r="D31" s="90" t="str">
        <f>IF(LOOKUP(M31,PPTO!$J$8:$J$269,PPTO!E$8:E$269)=0," ",LOOKUP(M31,PPTO!$J$8:$J$269,PPTO!E$8:E$269))</f>
        <v xml:space="preserve"> </v>
      </c>
      <c r="E31" s="90" t="str">
        <f>IF(LOOKUP(M31,PPTO!$J$8:$J$269,PPTO!F$8:F$269)=0," ",LOOKUP(M31,PPTO!$J$8:$J$269,PPTO!F$8:F$269))</f>
        <v xml:space="preserve"> </v>
      </c>
      <c r="F31" s="90" t="str">
        <f>IF(LOOKUP(M31,PPTO!$J$8:$J$269,PPTO!H$8:H$269)=0," ",LOOKUP(M31,PPTO!$J$8:$J$269,PPTO!H$8:H$269))</f>
        <v xml:space="preserve"> </v>
      </c>
      <c r="G31" s="178">
        <v>936.85</v>
      </c>
      <c r="H31" s="102" t="e">
        <f t="shared" si="1"/>
        <v>#VALUE!</v>
      </c>
      <c r="I31" s="174">
        <v>0</v>
      </c>
      <c r="J31" s="102" t="e">
        <f t="shared" si="2"/>
        <v>#VALUE!</v>
      </c>
      <c r="K31" s="102" t="e">
        <f>I31+'ACTA PARCIAL No.7'!K31</f>
        <v>#REF!</v>
      </c>
      <c r="L31" s="102" t="e">
        <f t="shared" si="3"/>
        <v>#REF!</v>
      </c>
      <c r="M31" s="108">
        <f t="shared" si="0"/>
        <v>15</v>
      </c>
    </row>
    <row r="32" spans="1:13">
      <c r="A32" s="87" t="str">
        <f>IF(LOOKUP(M32,PPTO!$J$8:$J$269,PPTO!A$8:A$269)=0," ",LOOKUP(M32,PPTO!$J$8:$J$269,PPTO!A$8:A$269))</f>
        <v>3.06</v>
      </c>
      <c r="B32" s="91" t="str">
        <f>IF(LOOKUP(M32,PPTO!$J$8:J$269,PPTO!B$8:B$269)=0," ",LOOKUP(M32,PPTO!$J$8:J$269,PPTO!B$8:B$269))</f>
        <v xml:space="preserve"> </v>
      </c>
      <c r="C32" s="89" t="str">
        <f>IF(LOOKUP(M32,PPTO!$J$8:$J$269,PPTO!D$8:D$269)=0," ",LOOKUP(M32,PPTO!$J$8:$J$269,PPTO!D$8:D$269))</f>
        <v>M3</v>
      </c>
      <c r="D32" s="90" t="str">
        <f>IF(LOOKUP(M32,PPTO!$J$8:$J$269,PPTO!E$8:E$269)=0," ",LOOKUP(M32,PPTO!$J$8:$J$269,PPTO!E$8:E$269))</f>
        <v xml:space="preserve"> </v>
      </c>
      <c r="E32" s="90" t="str">
        <f>IF(LOOKUP(M32,PPTO!$J$8:$J$269,PPTO!F$8:F$269)=0," ",LOOKUP(M32,PPTO!$J$8:$J$269,PPTO!F$8:F$269))</f>
        <v xml:space="preserve"> </v>
      </c>
      <c r="F32" s="90" t="str">
        <f>IF(LOOKUP(M32,PPTO!$J$8:$J$269,PPTO!H$8:H$269)=0," ",LOOKUP(M32,PPTO!$J$8:$J$269,PPTO!H$8:H$269))</f>
        <v xml:space="preserve"> </v>
      </c>
      <c r="G32" s="178">
        <v>2018.33</v>
      </c>
      <c r="H32" s="102" t="e">
        <f t="shared" si="1"/>
        <v>#VALUE!</v>
      </c>
      <c r="I32" s="174">
        <v>0</v>
      </c>
      <c r="J32" s="102" t="e">
        <f t="shared" si="2"/>
        <v>#VALUE!</v>
      </c>
      <c r="K32" s="102" t="e">
        <f>I32+'ACTA PARCIAL No.7'!K32</f>
        <v>#REF!</v>
      </c>
      <c r="L32" s="102" t="e">
        <f t="shared" si="3"/>
        <v>#REF!</v>
      </c>
      <c r="M32" s="108">
        <f t="shared" si="0"/>
        <v>16</v>
      </c>
    </row>
    <row r="33" spans="1:13">
      <c r="A33" s="87" t="str">
        <f>IF(LOOKUP(M33,PPTO!$J$8:$J$269,PPTO!A$8:A$269)=0," ",LOOKUP(M33,PPTO!$J$8:$J$269,PPTO!A$8:A$269))</f>
        <v>3.07</v>
      </c>
      <c r="B33" s="91" t="str">
        <f>IF(LOOKUP(M33,PPTO!$J$8:J$269,PPTO!B$8:B$269)=0," ",LOOKUP(M33,PPTO!$J$8:J$269,PPTO!B$8:B$269))</f>
        <v xml:space="preserve"> </v>
      </c>
      <c r="C33" s="89" t="str">
        <f>IF(LOOKUP(M33,PPTO!$J$8:$J$269,PPTO!D$8:D$269)=0," ",LOOKUP(M33,PPTO!$J$8:$J$269,PPTO!D$8:D$269))</f>
        <v>M3</v>
      </c>
      <c r="D33" s="90" t="str">
        <f>IF(LOOKUP(M33,PPTO!$J$8:$J$269,PPTO!E$8:E$269)=0," ",LOOKUP(M33,PPTO!$J$8:$J$269,PPTO!E$8:E$269))</f>
        <v xml:space="preserve"> </v>
      </c>
      <c r="E33" s="90" t="str">
        <f>IF(LOOKUP(M33,PPTO!$J$8:$J$269,PPTO!F$8:F$269)=0," ",LOOKUP(M33,PPTO!$J$8:$J$269,PPTO!F$8:F$269))</f>
        <v xml:space="preserve"> </v>
      </c>
      <c r="F33" s="90" t="str">
        <f>IF(LOOKUP(M33,PPTO!$J$8:$J$269,PPTO!H$8:H$269)=0," ",LOOKUP(M33,PPTO!$J$8:$J$269,PPTO!H$8:H$269))</f>
        <v xml:space="preserve"> </v>
      </c>
      <c r="G33" s="178">
        <v>1587.38</v>
      </c>
      <c r="H33" s="102" t="e">
        <f t="shared" si="1"/>
        <v>#VALUE!</v>
      </c>
      <c r="I33" s="174">
        <v>0</v>
      </c>
      <c r="J33" s="102" t="e">
        <f t="shared" si="2"/>
        <v>#VALUE!</v>
      </c>
      <c r="K33" s="102" t="e">
        <f>I33+'ACTA PARCIAL No.7'!K33</f>
        <v>#REF!</v>
      </c>
      <c r="L33" s="102" t="e">
        <f t="shared" si="3"/>
        <v>#REF!</v>
      </c>
      <c r="M33" s="108">
        <f t="shared" si="0"/>
        <v>17</v>
      </c>
    </row>
    <row r="34" spans="1:13">
      <c r="A34" s="87" t="str">
        <f>IF(LOOKUP(M34,PPTO!$J$8:$J$269,PPTO!A$8:A$269)=0," ",LOOKUP(M34,PPTO!$J$8:$J$269,PPTO!A$8:A$269))</f>
        <v>3.08</v>
      </c>
      <c r="B34" s="91" t="str">
        <f>IF(LOOKUP(M34,PPTO!$J$8:J$269,PPTO!B$8:B$269)=0," ",LOOKUP(M34,PPTO!$J$8:J$269,PPTO!B$8:B$269))</f>
        <v xml:space="preserve"> </v>
      </c>
      <c r="C34" s="89" t="str">
        <f>IF(LOOKUP(M34,PPTO!$J$8:$J$269,PPTO!D$8:D$269)=0," ",LOOKUP(M34,PPTO!$J$8:$J$269,PPTO!D$8:D$269))</f>
        <v>M2</v>
      </c>
      <c r="D34" s="90" t="str">
        <f>IF(LOOKUP(M34,PPTO!$J$8:$J$269,PPTO!E$8:E$269)=0," ",LOOKUP(M34,PPTO!$J$8:$J$269,PPTO!E$8:E$269))</f>
        <v xml:space="preserve"> </v>
      </c>
      <c r="E34" s="90" t="str">
        <f>IF(LOOKUP(M34,PPTO!$J$8:$J$269,PPTO!F$8:F$269)=0," ",LOOKUP(M34,PPTO!$J$8:$J$269,PPTO!F$8:F$269))</f>
        <v xml:space="preserve"> </v>
      </c>
      <c r="F34" s="90" t="str">
        <f>IF(LOOKUP(M34,PPTO!$J$8:$J$269,PPTO!H$8:H$269)=0," ",LOOKUP(M34,PPTO!$J$8:$J$269,PPTO!H$8:H$269))</f>
        <v xml:space="preserve"> </v>
      </c>
      <c r="G34" s="178">
        <v>10500</v>
      </c>
      <c r="H34" s="102" t="e">
        <f t="shared" si="1"/>
        <v>#VALUE!</v>
      </c>
      <c r="I34" s="174">
        <v>0</v>
      </c>
      <c r="J34" s="102" t="e">
        <f t="shared" si="2"/>
        <v>#VALUE!</v>
      </c>
      <c r="K34" s="102" t="e">
        <f>I34+'ACTA PARCIAL No.7'!K34</f>
        <v>#REF!</v>
      </c>
      <c r="L34" s="102" t="e">
        <f t="shared" si="3"/>
        <v>#REF!</v>
      </c>
      <c r="M34" s="108">
        <f t="shared" si="0"/>
        <v>18</v>
      </c>
    </row>
    <row r="35" spans="1:13">
      <c r="A35" s="87" t="str">
        <f>IF(LOOKUP(M35,PPTO!$J$8:$J$269,PPTO!A$8:A$269)=0," ",LOOKUP(M35,PPTO!$J$8:$J$269,PPTO!A$8:A$269))</f>
        <v>3.09</v>
      </c>
      <c r="B35" s="91" t="str">
        <f>IF(LOOKUP(M35,PPTO!$J$8:J$269,PPTO!B$8:B$269)=0," ",LOOKUP(M35,PPTO!$J$8:J$269,PPTO!B$8:B$269))</f>
        <v xml:space="preserve"> </v>
      </c>
      <c r="C35" s="89" t="str">
        <f>IF(LOOKUP(M35,PPTO!$J$8:$J$269,PPTO!D$8:D$269)=0," ",LOOKUP(M35,PPTO!$J$8:$J$269,PPTO!D$8:D$269))</f>
        <v>UND</v>
      </c>
      <c r="D35" s="90" t="str">
        <f>IF(LOOKUP(M35,PPTO!$J$8:$J$269,PPTO!E$8:E$269)=0," ",LOOKUP(M35,PPTO!$J$8:$J$269,PPTO!E$8:E$269))</f>
        <v xml:space="preserve"> </v>
      </c>
      <c r="E35" s="90" t="str">
        <f>IF(LOOKUP(M35,PPTO!$J$8:$J$269,PPTO!F$8:F$269)=0," ",LOOKUP(M35,PPTO!$J$8:$J$269,PPTO!F$8:F$269))</f>
        <v xml:space="preserve"> </v>
      </c>
      <c r="F35" s="90" t="str">
        <f>IF(LOOKUP(M35,PPTO!$J$8:$J$269,PPTO!H$8:H$269)=0," ",LOOKUP(M35,PPTO!$J$8:$J$269,PPTO!H$8:H$269))</f>
        <v xml:space="preserve"> </v>
      </c>
      <c r="G35" s="178">
        <v>936.85</v>
      </c>
      <c r="H35" s="102" t="e">
        <f t="shared" si="1"/>
        <v>#VALUE!</v>
      </c>
      <c r="I35" s="174">
        <v>0</v>
      </c>
      <c r="J35" s="102" t="e">
        <f t="shared" si="2"/>
        <v>#VALUE!</v>
      </c>
      <c r="K35" s="102" t="e">
        <f>I35+'ACTA PARCIAL No.7'!K35</f>
        <v>#REF!</v>
      </c>
      <c r="L35" s="102" t="e">
        <f t="shared" si="3"/>
        <v>#REF!</v>
      </c>
      <c r="M35" s="108">
        <f t="shared" si="0"/>
        <v>19</v>
      </c>
    </row>
    <row r="36" spans="1:13">
      <c r="A36" s="87" t="str">
        <f>IF(LOOKUP(M36,PPTO!$J$8:$J$269,PPTO!A$8:A$269)=0," ",LOOKUP(M36,PPTO!$J$8:$J$269,PPTO!A$8:A$269))</f>
        <v>3.10</v>
      </c>
      <c r="B36" s="91" t="str">
        <f>IF(LOOKUP(M36,PPTO!$J$8:J$269,PPTO!B$8:B$269)=0," ",LOOKUP(M36,PPTO!$J$8:J$269,PPTO!B$8:B$269))</f>
        <v xml:space="preserve"> </v>
      </c>
      <c r="C36" s="89" t="str">
        <f>IF(LOOKUP(M36,PPTO!$J$8:$J$269,PPTO!D$8:D$269)=0," ",LOOKUP(M36,PPTO!$J$8:$J$269,PPTO!D$8:D$269))</f>
        <v>M3</v>
      </c>
      <c r="D36" s="90" t="str">
        <f>IF(LOOKUP(M36,PPTO!$J$8:$J$269,PPTO!E$8:E$269)=0," ",LOOKUP(M36,PPTO!$J$8:$J$269,PPTO!E$8:E$269))</f>
        <v xml:space="preserve"> </v>
      </c>
      <c r="E36" s="90" t="str">
        <f>IF(LOOKUP(M36,PPTO!$J$8:$J$269,PPTO!F$8:F$269)=0," ",LOOKUP(M36,PPTO!$J$8:$J$269,PPTO!F$8:F$269))</f>
        <v xml:space="preserve"> </v>
      </c>
      <c r="F36" s="90" t="str">
        <f>IF(LOOKUP(M36,PPTO!$J$8:$J$269,PPTO!H$8:H$269)=0," ",LOOKUP(M36,PPTO!$J$8:$J$269,PPTO!H$8:H$269))</f>
        <v xml:space="preserve"> </v>
      </c>
      <c r="G36" s="178">
        <v>2018.33</v>
      </c>
      <c r="H36" s="102" t="e">
        <f t="shared" si="1"/>
        <v>#VALUE!</v>
      </c>
      <c r="I36" s="174">
        <v>0</v>
      </c>
      <c r="J36" s="102" t="e">
        <f t="shared" si="2"/>
        <v>#VALUE!</v>
      </c>
      <c r="K36" s="102" t="e">
        <f>I36+'ACTA PARCIAL No.7'!K36</f>
        <v>#REF!</v>
      </c>
      <c r="L36" s="102" t="e">
        <f t="shared" si="3"/>
        <v>#REF!</v>
      </c>
      <c r="M36" s="108">
        <f t="shared" si="0"/>
        <v>20</v>
      </c>
    </row>
    <row r="37" spans="1:13">
      <c r="A37" s="87" t="str">
        <f>IF(LOOKUP(M37,PPTO!$J$8:$J$269,PPTO!A$8:A$269)=0," ",LOOKUP(M37,PPTO!$J$8:$J$269,PPTO!A$8:A$269))</f>
        <v>3.11</v>
      </c>
      <c r="B37" s="91" t="str">
        <f>IF(LOOKUP(M37,PPTO!$J$8:J$269,PPTO!B$8:B$269)=0," ",LOOKUP(M37,PPTO!$J$8:J$269,PPTO!B$8:B$269))</f>
        <v xml:space="preserve"> </v>
      </c>
      <c r="C37" s="89" t="str">
        <f>IF(LOOKUP(M37,PPTO!$J$8:$J$269,PPTO!D$8:D$269)=0," ",LOOKUP(M37,PPTO!$J$8:$J$269,PPTO!D$8:D$269))</f>
        <v>M3</v>
      </c>
      <c r="D37" s="90" t="str">
        <f>IF(LOOKUP(M37,PPTO!$J$8:$J$269,PPTO!E$8:E$269)=0," ",LOOKUP(M37,PPTO!$J$8:$J$269,PPTO!E$8:E$269))</f>
        <v xml:space="preserve"> </v>
      </c>
      <c r="E37" s="90" t="str">
        <f>IF(LOOKUP(M37,PPTO!$J$8:$J$269,PPTO!F$8:F$269)=0," ",LOOKUP(M37,PPTO!$J$8:$J$269,PPTO!F$8:F$269))</f>
        <v xml:space="preserve"> </v>
      </c>
      <c r="F37" s="90" t="str">
        <f>IF(LOOKUP(M37,PPTO!$J$8:$J$269,PPTO!H$8:H$269)=0," ",LOOKUP(M37,PPTO!$J$8:$J$269,PPTO!H$8:H$269))</f>
        <v xml:space="preserve"> </v>
      </c>
      <c r="G37" s="178">
        <v>18000</v>
      </c>
      <c r="H37" s="102" t="e">
        <f t="shared" si="1"/>
        <v>#VALUE!</v>
      </c>
      <c r="I37" s="174">
        <v>0</v>
      </c>
      <c r="J37" s="102" t="e">
        <f t="shared" si="2"/>
        <v>#VALUE!</v>
      </c>
      <c r="K37" s="102" t="e">
        <f>I37+'ACTA PARCIAL No.7'!K37</f>
        <v>#REF!</v>
      </c>
      <c r="L37" s="102" t="e">
        <f t="shared" si="3"/>
        <v>#REF!</v>
      </c>
      <c r="M37" s="108">
        <f t="shared" si="0"/>
        <v>21</v>
      </c>
    </row>
    <row r="38" spans="1:13">
      <c r="A38" s="87" t="str">
        <f>IF(LOOKUP(M38,PPTO!$J$8:$J$269,PPTO!A$8:A$269)=0," ",LOOKUP(M38,PPTO!$J$8:$J$269,PPTO!A$8:A$269))</f>
        <v>3.12</v>
      </c>
      <c r="B38" s="91" t="str">
        <f>IF(LOOKUP(M38,PPTO!$J$8:J$269,PPTO!B$8:B$269)=0," ",LOOKUP(M38,PPTO!$J$8:J$269,PPTO!B$8:B$269))</f>
        <v xml:space="preserve"> </v>
      </c>
      <c r="C38" s="89" t="str">
        <f>IF(LOOKUP(M38,PPTO!$J$8:$J$269,PPTO!D$8:D$269)=0," ",LOOKUP(M38,PPTO!$J$8:$J$269,PPTO!D$8:D$269))</f>
        <v>M3</v>
      </c>
      <c r="D38" s="90" t="str">
        <f>IF(LOOKUP(M38,PPTO!$J$8:$J$269,PPTO!E$8:E$269)=0," ",LOOKUP(M38,PPTO!$J$8:$J$269,PPTO!E$8:E$269))</f>
        <v xml:space="preserve"> </v>
      </c>
      <c r="E38" s="90" t="str">
        <f>IF(LOOKUP(M38,PPTO!$J$8:$J$269,PPTO!F$8:F$269)=0," ",LOOKUP(M38,PPTO!$J$8:$J$269,PPTO!F$8:F$269))</f>
        <v xml:space="preserve"> </v>
      </c>
      <c r="F38" s="90" t="str">
        <f>IF(LOOKUP(M38,PPTO!$J$8:$J$269,PPTO!H$8:H$269)=0," ",LOOKUP(M38,PPTO!$J$8:$J$269,PPTO!H$8:H$269))</f>
        <v xml:space="preserve"> </v>
      </c>
      <c r="G38" s="178">
        <v>3173.33</v>
      </c>
      <c r="H38" s="102" t="e">
        <f t="shared" si="1"/>
        <v>#VALUE!</v>
      </c>
      <c r="I38" s="174">
        <v>0</v>
      </c>
      <c r="J38" s="102" t="e">
        <f t="shared" si="2"/>
        <v>#VALUE!</v>
      </c>
      <c r="K38" s="102" t="e">
        <f>I38+'ACTA PARCIAL No.7'!K38</f>
        <v>#REF!</v>
      </c>
      <c r="L38" s="102" t="e">
        <f t="shared" si="3"/>
        <v>#REF!</v>
      </c>
      <c r="M38" s="108">
        <f t="shared" si="0"/>
        <v>22</v>
      </c>
    </row>
    <row r="39" spans="1:13">
      <c r="A39" s="87">
        <f>IF(LOOKUP(M39,PPTO!$J$8:$J$269,PPTO!A$8:A$269)=0," ",LOOKUP(M39,PPTO!$J$8:$J$269,PPTO!A$8:A$269))</f>
        <v>4</v>
      </c>
      <c r="B39" s="91" t="str">
        <f>IF(LOOKUP(M39,PPTO!$J$8:J$269,PPTO!B$8:B$269)=0," ",LOOKUP(M39,PPTO!$J$8:J$269,PPTO!B$8:B$269))</f>
        <v>TUBERIA DE ALCANTARILLADO</v>
      </c>
      <c r="C39" s="89" t="str">
        <f>IF(LOOKUP(M39,PPTO!$J$8:$J$269,PPTO!D$8:D$269)=0," ",LOOKUP(M39,PPTO!$J$8:$J$269,PPTO!D$8:D$269))</f>
        <v xml:space="preserve"> </v>
      </c>
      <c r="D39" s="90" t="str">
        <f>IF(LOOKUP(M39,PPTO!$J$8:$J$269,PPTO!E$8:E$269)=0," ",LOOKUP(M39,PPTO!$J$8:$J$269,PPTO!E$8:E$269))</f>
        <v xml:space="preserve"> </v>
      </c>
      <c r="E39" s="90" t="str">
        <f>IF(LOOKUP(M39,PPTO!$J$8:$J$269,PPTO!F$8:F$269)=0," ",LOOKUP(M39,PPTO!$J$8:$J$269,PPTO!F$8:F$269))</f>
        <v xml:space="preserve"> </v>
      </c>
      <c r="F39" s="90" t="str">
        <f>IF(LOOKUP(M39,PPTO!$J$8:$J$269,PPTO!H$8:H$269)=0," ",LOOKUP(M39,PPTO!$J$8:$J$269,PPTO!H$8:H$269))</f>
        <v xml:space="preserve"> </v>
      </c>
      <c r="G39" s="178"/>
      <c r="H39" s="102"/>
      <c r="I39" s="174"/>
      <c r="J39" s="102"/>
      <c r="K39" s="102">
        <f>I39+'ACTA PARCIAL No.7'!K39</f>
        <v>0</v>
      </c>
      <c r="L39" s="102"/>
      <c r="M39" s="108">
        <f t="shared" si="0"/>
        <v>23</v>
      </c>
    </row>
    <row r="40" spans="1:13">
      <c r="A40" s="87" t="str">
        <f>IF(LOOKUP(M40,PPTO!$J$8:$J$269,PPTO!A$8:A$269)=0," ",LOOKUP(M40,PPTO!$J$8:$J$269,PPTO!A$8:A$269))</f>
        <v>4.01</v>
      </c>
      <c r="B40" s="91" t="str">
        <f>IF(LOOKUP(M40,PPTO!$J$8:J$269,PPTO!B$8:B$269)=0," ",LOOKUP(M40,PPTO!$J$8:J$269,PPTO!B$8:B$269))</f>
        <v xml:space="preserve"> </v>
      </c>
      <c r="C40" s="89" t="str">
        <f>IF(LOOKUP(M40,PPTO!$J$8:$J$269,PPTO!D$8:D$269)=0," ",LOOKUP(M40,PPTO!$J$8:$J$269,PPTO!D$8:D$269))</f>
        <v>ML</v>
      </c>
      <c r="D40" s="90" t="str">
        <f>IF(LOOKUP(M40,PPTO!$J$8:$J$269,PPTO!E$8:E$269)=0," ",LOOKUP(M40,PPTO!$J$8:$J$269,PPTO!E$8:E$269))</f>
        <v xml:space="preserve"> </v>
      </c>
      <c r="E40" s="90" t="str">
        <f>IF(LOOKUP(M40,PPTO!$J$8:$J$269,PPTO!F$8:F$269)=0," ",LOOKUP(M40,PPTO!$J$8:$J$269,PPTO!F$8:F$269))</f>
        <v xml:space="preserve"> </v>
      </c>
      <c r="F40" s="90" t="str">
        <f>IF(LOOKUP(M40,PPTO!$J$8:$J$269,PPTO!H$8:H$269)=0," ",LOOKUP(M40,PPTO!$J$8:$J$269,PPTO!H$8:H$269))</f>
        <v xml:space="preserve"> </v>
      </c>
      <c r="G40" s="178">
        <v>7554</v>
      </c>
      <c r="H40" s="102" t="e">
        <f t="shared" si="1"/>
        <v>#VALUE!</v>
      </c>
      <c r="I40" s="174">
        <v>0</v>
      </c>
      <c r="J40" s="102" t="e">
        <f t="shared" si="2"/>
        <v>#VALUE!</v>
      </c>
      <c r="K40" s="102" t="e">
        <f>I40+'ACTA PARCIAL No.7'!K40</f>
        <v>#REF!</v>
      </c>
      <c r="L40" s="102" t="e">
        <f t="shared" si="3"/>
        <v>#REF!</v>
      </c>
      <c r="M40" s="108">
        <f t="shared" si="0"/>
        <v>24</v>
      </c>
    </row>
    <row r="41" spans="1:13">
      <c r="A41" s="87" t="str">
        <f>IF(LOOKUP(M41,PPTO!$J$8:$J$269,PPTO!A$8:A$269)=0," ",LOOKUP(M41,PPTO!$J$8:$J$269,PPTO!A$8:A$269))</f>
        <v>4.02</v>
      </c>
      <c r="B41" s="91" t="str">
        <f>IF(LOOKUP(M41,PPTO!$J$8:J$269,PPTO!B$8:B$269)=0," ",LOOKUP(M41,PPTO!$J$8:J$269,PPTO!B$8:B$269))</f>
        <v xml:space="preserve"> </v>
      </c>
      <c r="C41" s="89" t="str">
        <f>IF(LOOKUP(M41,PPTO!$J$8:$J$269,PPTO!D$8:D$269)=0," ",LOOKUP(M41,PPTO!$J$8:$J$269,PPTO!D$8:D$269))</f>
        <v>ML</v>
      </c>
      <c r="D41" s="90" t="str">
        <f>IF(LOOKUP(M41,PPTO!$J$8:$J$269,PPTO!E$8:E$269)=0," ",LOOKUP(M41,PPTO!$J$8:$J$269,PPTO!E$8:E$269))</f>
        <v xml:space="preserve"> </v>
      </c>
      <c r="E41" s="90" t="str">
        <f>IF(LOOKUP(M41,PPTO!$J$8:$J$269,PPTO!F$8:F$269)=0," ",LOOKUP(M41,PPTO!$J$8:$J$269,PPTO!F$8:F$269))</f>
        <v xml:space="preserve"> </v>
      </c>
      <c r="F41" s="90" t="str">
        <f>IF(LOOKUP(M41,PPTO!$J$8:$J$269,PPTO!H$8:H$269)=0," ",LOOKUP(M41,PPTO!$J$8:$J$269,PPTO!H$8:H$269))</f>
        <v xml:space="preserve"> </v>
      </c>
      <c r="G41" s="178">
        <v>10629.07</v>
      </c>
      <c r="H41" s="102" t="e">
        <f t="shared" si="1"/>
        <v>#VALUE!</v>
      </c>
      <c r="I41" s="174">
        <v>0</v>
      </c>
      <c r="J41" s="102" t="e">
        <f t="shared" si="2"/>
        <v>#VALUE!</v>
      </c>
      <c r="K41" s="102" t="e">
        <f>I41+'ACTA PARCIAL No.7'!K41</f>
        <v>#REF!</v>
      </c>
      <c r="L41" s="102" t="e">
        <f t="shared" si="3"/>
        <v>#REF!</v>
      </c>
      <c r="M41" s="108">
        <f t="shared" si="0"/>
        <v>25</v>
      </c>
    </row>
    <row r="42" spans="1:13">
      <c r="A42" s="87" t="str">
        <f>IF(LOOKUP(M42,PPTO!$J$8:$J$269,PPTO!A$8:A$269)=0," ",LOOKUP(M42,PPTO!$J$8:$J$269,PPTO!A$8:A$269))</f>
        <v>4.03</v>
      </c>
      <c r="B42" s="91" t="str">
        <f>IF(LOOKUP(M42,PPTO!$J$8:J$269,PPTO!B$8:B$269)=0," ",LOOKUP(M42,PPTO!$J$8:J$269,PPTO!B$8:B$269))</f>
        <v xml:space="preserve"> </v>
      </c>
      <c r="C42" s="89" t="str">
        <f>IF(LOOKUP(M42,PPTO!$J$8:$J$269,PPTO!D$8:D$269)=0," ",LOOKUP(M42,PPTO!$J$8:$J$269,PPTO!D$8:D$269))</f>
        <v>ML</v>
      </c>
      <c r="D42" s="90" t="str">
        <f>IF(LOOKUP(M42,PPTO!$J$8:$J$269,PPTO!E$8:E$269)=0," ",LOOKUP(M42,PPTO!$J$8:$J$269,PPTO!E$8:E$269))</f>
        <v xml:space="preserve"> </v>
      </c>
      <c r="E42" s="90" t="str">
        <f>IF(LOOKUP(M42,PPTO!$J$8:$J$269,PPTO!F$8:F$269)=0," ",LOOKUP(M42,PPTO!$J$8:$J$269,PPTO!F$8:F$269))</f>
        <v xml:space="preserve"> </v>
      </c>
      <c r="F42" s="90" t="str">
        <f>IF(LOOKUP(M42,PPTO!$J$8:$J$269,PPTO!H$8:H$269)=0," ",LOOKUP(M42,PPTO!$J$8:$J$269,PPTO!H$8:H$269))</f>
        <v xml:space="preserve"> </v>
      </c>
      <c r="G42" s="178">
        <v>119.02</v>
      </c>
      <c r="H42" s="102" t="e">
        <f t="shared" si="1"/>
        <v>#VALUE!</v>
      </c>
      <c r="I42" s="174">
        <v>0</v>
      </c>
      <c r="J42" s="102" t="e">
        <f t="shared" si="2"/>
        <v>#VALUE!</v>
      </c>
      <c r="K42" s="102" t="e">
        <f>I42+'ACTA PARCIAL No.7'!K42</f>
        <v>#REF!</v>
      </c>
      <c r="L42" s="102" t="e">
        <f t="shared" si="3"/>
        <v>#REF!</v>
      </c>
      <c r="M42" s="108">
        <f t="shared" si="0"/>
        <v>26</v>
      </c>
    </row>
    <row r="43" spans="1:13">
      <c r="A43" s="87" t="str">
        <f>IF(LOOKUP(M43,PPTO!$J$8:$J$269,PPTO!A$8:A$269)=0," ",LOOKUP(M43,PPTO!$J$8:$J$269,PPTO!A$8:A$269))</f>
        <v>4.04</v>
      </c>
      <c r="B43" s="91" t="str">
        <f>IF(LOOKUP(M43,PPTO!$J$8:J$269,PPTO!B$8:B$269)=0," ",LOOKUP(M43,PPTO!$J$8:J$269,PPTO!B$8:B$269))</f>
        <v xml:space="preserve"> </v>
      </c>
      <c r="C43" s="89" t="str">
        <f>IF(LOOKUP(M43,PPTO!$J$8:$J$269,PPTO!D$8:D$269)=0," ",LOOKUP(M43,PPTO!$J$8:$J$269,PPTO!D$8:D$269))</f>
        <v>ML</v>
      </c>
      <c r="D43" s="90" t="str">
        <f>IF(LOOKUP(M43,PPTO!$J$8:$J$269,PPTO!E$8:E$269)=0," ",LOOKUP(M43,PPTO!$J$8:$J$269,PPTO!E$8:E$269))</f>
        <v xml:space="preserve"> </v>
      </c>
      <c r="E43" s="90" t="str">
        <f>IF(LOOKUP(M43,PPTO!$J$8:$J$269,PPTO!F$8:F$269)=0," ",LOOKUP(M43,PPTO!$J$8:$J$269,PPTO!F$8:F$269))</f>
        <v xml:space="preserve"> </v>
      </c>
      <c r="F43" s="90" t="str">
        <f>IF(LOOKUP(M43,PPTO!$J$8:$J$269,PPTO!H$8:H$269)=0," ",LOOKUP(M43,PPTO!$J$8:$J$269,PPTO!H$8:H$269))</f>
        <v xml:space="preserve"> </v>
      </c>
      <c r="G43" s="178">
        <v>293.73</v>
      </c>
      <c r="H43" s="102" t="e">
        <f t="shared" si="1"/>
        <v>#VALUE!</v>
      </c>
      <c r="I43" s="174">
        <v>0</v>
      </c>
      <c r="J43" s="102" t="e">
        <f t="shared" si="2"/>
        <v>#VALUE!</v>
      </c>
      <c r="K43" s="102" t="e">
        <f>I43+'ACTA PARCIAL No.7'!K43</f>
        <v>#REF!</v>
      </c>
      <c r="L43" s="102" t="e">
        <f t="shared" si="3"/>
        <v>#REF!</v>
      </c>
      <c r="M43" s="108">
        <f t="shared" si="0"/>
        <v>27</v>
      </c>
    </row>
    <row r="44" spans="1:13">
      <c r="A44" s="87" t="str">
        <f>IF(LOOKUP(M44,PPTO!$J$8:$J$269,PPTO!A$8:A$269)=0," ",LOOKUP(M44,PPTO!$J$8:$J$269,PPTO!A$8:A$269))</f>
        <v>4.05</v>
      </c>
      <c r="B44" s="91" t="str">
        <f>IF(LOOKUP(M44,PPTO!$J$8:J$269,PPTO!B$8:B$269)=0," ",LOOKUP(M44,PPTO!$J$8:J$269,PPTO!B$8:B$269))</f>
        <v xml:space="preserve"> </v>
      </c>
      <c r="C44" s="89" t="str">
        <f>IF(LOOKUP(M44,PPTO!$J$8:$J$269,PPTO!D$8:D$269)=0," ",LOOKUP(M44,PPTO!$J$8:$J$269,PPTO!D$8:D$269))</f>
        <v>ML</v>
      </c>
      <c r="D44" s="90" t="str">
        <f>IF(LOOKUP(M44,PPTO!$J$8:$J$269,PPTO!E$8:E$269)=0," ",LOOKUP(M44,PPTO!$J$8:$J$269,PPTO!E$8:E$269))</f>
        <v xml:space="preserve"> </v>
      </c>
      <c r="E44" s="90" t="str">
        <f>IF(LOOKUP(M44,PPTO!$J$8:$J$269,PPTO!F$8:F$269)=0," ",LOOKUP(M44,PPTO!$J$8:$J$269,PPTO!F$8:F$269))</f>
        <v xml:space="preserve"> </v>
      </c>
      <c r="F44" s="90" t="str">
        <f>IF(LOOKUP(M44,PPTO!$J$8:$J$269,PPTO!H$8:H$269)=0," ",LOOKUP(M44,PPTO!$J$8:$J$269,PPTO!H$8:H$269))</f>
        <v xml:space="preserve"> </v>
      </c>
      <c r="G44" s="178">
        <v>912.33</v>
      </c>
      <c r="H44" s="102" t="e">
        <f t="shared" si="1"/>
        <v>#VALUE!</v>
      </c>
      <c r="I44" s="174">
        <v>0</v>
      </c>
      <c r="J44" s="102" t="e">
        <f t="shared" si="2"/>
        <v>#VALUE!</v>
      </c>
      <c r="K44" s="102" t="e">
        <f>I44+'ACTA PARCIAL No.7'!K44</f>
        <v>#REF!</v>
      </c>
      <c r="L44" s="102" t="e">
        <f t="shared" si="3"/>
        <v>#REF!</v>
      </c>
      <c r="M44" s="108">
        <f t="shared" si="0"/>
        <v>28</v>
      </c>
    </row>
    <row r="45" spans="1:13">
      <c r="A45" s="87" t="str">
        <f>IF(LOOKUP(M45,PPTO!$J$8:$J$269,PPTO!A$8:A$269)=0," ",LOOKUP(M45,PPTO!$J$8:$J$269,PPTO!A$8:A$269))</f>
        <v>4.06</v>
      </c>
      <c r="B45" s="91" t="str">
        <f>IF(LOOKUP(M45,PPTO!$J$8:J$269,PPTO!B$8:B$269)=0," ",LOOKUP(M45,PPTO!$J$8:J$269,PPTO!B$8:B$269))</f>
        <v xml:space="preserve"> </v>
      </c>
      <c r="C45" s="89" t="str">
        <f>IF(LOOKUP(M45,PPTO!$J$8:$J$269,PPTO!D$8:D$269)=0," ",LOOKUP(M45,PPTO!$J$8:$J$269,PPTO!D$8:D$269))</f>
        <v>UND</v>
      </c>
      <c r="D45" s="90" t="str">
        <f>IF(LOOKUP(M45,PPTO!$J$8:$J$269,PPTO!E$8:E$269)=0," ",LOOKUP(M45,PPTO!$J$8:$J$269,PPTO!E$8:E$269))</f>
        <v xml:space="preserve"> </v>
      </c>
      <c r="E45" s="90" t="str">
        <f>IF(LOOKUP(M45,PPTO!$J$8:$J$269,PPTO!F$8:F$269)=0," ",LOOKUP(M45,PPTO!$J$8:$J$269,PPTO!F$8:F$269))</f>
        <v xml:space="preserve"> </v>
      </c>
      <c r="F45" s="90" t="str">
        <f>IF(LOOKUP(M45,PPTO!$J$8:$J$269,PPTO!H$8:H$269)=0," ",LOOKUP(M45,PPTO!$J$8:$J$269,PPTO!H$8:H$269))</f>
        <v xml:space="preserve"> </v>
      </c>
      <c r="G45" s="178">
        <v>1259</v>
      </c>
      <c r="H45" s="102" t="e">
        <f t="shared" si="1"/>
        <v>#VALUE!</v>
      </c>
      <c r="I45" s="174">
        <v>0</v>
      </c>
      <c r="J45" s="102" t="e">
        <f t="shared" si="2"/>
        <v>#VALUE!</v>
      </c>
      <c r="K45" s="102" t="e">
        <f>I45+'ACTA PARCIAL No.7'!K45</f>
        <v>#REF!</v>
      </c>
      <c r="L45" s="102" t="e">
        <f t="shared" si="3"/>
        <v>#REF!</v>
      </c>
      <c r="M45" s="108">
        <f t="shared" si="0"/>
        <v>29</v>
      </c>
    </row>
    <row r="46" spans="1:13">
      <c r="A46" s="87" t="str">
        <f>IF(LOOKUP(M46,PPTO!$J$8:$J$269,PPTO!A$8:A$269)=0," ",LOOKUP(M46,PPTO!$J$8:$J$269,PPTO!A$8:A$269))</f>
        <v>4.09</v>
      </c>
      <c r="B46" s="91" t="str">
        <f>IF(LOOKUP(M46,PPTO!$J$8:J$269,PPTO!B$8:B$269)=0," ",LOOKUP(M46,PPTO!$J$8:J$269,PPTO!B$8:B$269))</f>
        <v xml:space="preserve"> </v>
      </c>
      <c r="C46" s="89" t="str">
        <f>IF(LOOKUP(M46,PPTO!$J$8:$J$269,PPTO!D$8:D$269)=0," ",LOOKUP(M46,PPTO!$J$8:$J$269,PPTO!D$8:D$269))</f>
        <v>M3</v>
      </c>
      <c r="D46" s="90" t="str">
        <f>IF(LOOKUP(M46,PPTO!$J$8:$J$269,PPTO!E$8:E$269)=0," ",LOOKUP(M46,PPTO!$J$8:$J$269,PPTO!E$8:E$269))</f>
        <v xml:space="preserve"> </v>
      </c>
      <c r="E46" s="90" t="str">
        <f>IF(LOOKUP(M46,PPTO!$J$8:$J$269,PPTO!F$8:F$269)=0," ",LOOKUP(M46,PPTO!$J$8:$J$269,PPTO!F$8:F$269))</f>
        <v xml:space="preserve"> </v>
      </c>
      <c r="F46" s="90" t="str">
        <f>IF(LOOKUP(M46,PPTO!$J$8:$J$269,PPTO!H$8:H$269)=0," ",LOOKUP(M46,PPTO!$J$8:$J$269,PPTO!H$8:H$269))</f>
        <v xml:space="preserve"> </v>
      </c>
      <c r="G46" s="178">
        <v>453.24</v>
      </c>
      <c r="H46" s="102" t="e">
        <f t="shared" si="1"/>
        <v>#VALUE!</v>
      </c>
      <c r="I46" s="174">
        <v>0</v>
      </c>
      <c r="J46" s="102" t="e">
        <f t="shared" si="2"/>
        <v>#VALUE!</v>
      </c>
      <c r="K46" s="102" t="e">
        <f>I46+'ACTA PARCIAL No.7'!K46</f>
        <v>#REF!</v>
      </c>
      <c r="L46" s="102" t="e">
        <f t="shared" si="3"/>
        <v>#REF!</v>
      </c>
      <c r="M46" s="108">
        <f t="shared" si="0"/>
        <v>30</v>
      </c>
    </row>
    <row r="47" spans="1:13">
      <c r="A47" s="87" t="str">
        <f>IF(LOOKUP(M47,PPTO!$J$8:$J$269,PPTO!A$8:A$269)=0," ",LOOKUP(M47,PPTO!$J$8:$J$269,PPTO!A$8:A$269))</f>
        <v>4.10</v>
      </c>
      <c r="B47" s="91" t="str">
        <f>IF(LOOKUP(M47,PPTO!$J$8:J$269,PPTO!B$8:B$269)=0," ",LOOKUP(M47,PPTO!$J$8:J$269,PPTO!B$8:B$269))</f>
        <v xml:space="preserve"> </v>
      </c>
      <c r="C47" s="89" t="str">
        <f>IF(LOOKUP(M47,PPTO!$J$8:$J$269,PPTO!D$8:D$269)=0," ",LOOKUP(M47,PPTO!$J$8:$J$269,PPTO!D$8:D$269))</f>
        <v>M3</v>
      </c>
      <c r="D47" s="90" t="str">
        <f>IF(LOOKUP(M47,PPTO!$J$8:$J$269,PPTO!E$8:E$269)=0," ",LOOKUP(M47,PPTO!$J$8:$J$269,PPTO!E$8:E$269))</f>
        <v xml:space="preserve"> </v>
      </c>
      <c r="E47" s="90" t="str">
        <f>IF(LOOKUP(M47,PPTO!$J$8:$J$269,PPTO!F$8:F$269)=0," ",LOOKUP(M47,PPTO!$J$8:$J$269,PPTO!F$8:F$269))</f>
        <v xml:space="preserve"> </v>
      </c>
      <c r="F47" s="90" t="str">
        <f>IF(LOOKUP(M47,PPTO!$J$8:$J$269,PPTO!H$8:H$269)=0," ",LOOKUP(M47,PPTO!$J$8:$J$269,PPTO!H$8:H$269))</f>
        <v xml:space="preserve"> </v>
      </c>
      <c r="G47" s="178">
        <v>2381.3200000000002</v>
      </c>
      <c r="H47" s="102" t="e">
        <f t="shared" si="1"/>
        <v>#VALUE!</v>
      </c>
      <c r="I47" s="174">
        <v>0</v>
      </c>
      <c r="J47" s="102" t="e">
        <f t="shared" si="2"/>
        <v>#VALUE!</v>
      </c>
      <c r="K47" s="102" t="e">
        <f>I47+'ACTA PARCIAL No.7'!K47</f>
        <v>#REF!</v>
      </c>
      <c r="L47" s="102" t="e">
        <f t="shared" si="3"/>
        <v>#REF!</v>
      </c>
      <c r="M47" s="108">
        <f t="shared" si="0"/>
        <v>31</v>
      </c>
    </row>
    <row r="48" spans="1:13">
      <c r="A48" s="87">
        <f>IF(LOOKUP(M48,PPTO!$J$8:$J$269,PPTO!A$8:A$269)=0," ",LOOKUP(M48,PPTO!$J$8:$J$269,PPTO!A$8:A$269))</f>
        <v>5</v>
      </c>
      <c r="B48" s="91" t="str">
        <f>IF(LOOKUP(M48,PPTO!$J$8:J$269,PPTO!B$8:B$269)=0," ",LOOKUP(M48,PPTO!$J$8:J$269,PPTO!B$8:B$269))</f>
        <v>ESTRUCTURAS SANITARIAS EN CONCRETO</v>
      </c>
      <c r="C48" s="89" t="str">
        <f>IF(LOOKUP(M48,PPTO!$J$8:$J$269,PPTO!D$8:D$269)=0," ",LOOKUP(M48,PPTO!$J$8:$J$269,PPTO!D$8:D$269))</f>
        <v xml:space="preserve"> </v>
      </c>
      <c r="D48" s="90" t="str">
        <f>IF(LOOKUP(M48,PPTO!$J$8:$J$269,PPTO!E$8:E$269)=0," ",LOOKUP(M48,PPTO!$J$8:$J$269,PPTO!E$8:E$269))</f>
        <v xml:space="preserve"> </v>
      </c>
      <c r="E48" s="90" t="str">
        <f>IF(LOOKUP(M48,PPTO!$J$8:$J$269,PPTO!F$8:F$269)=0," ",LOOKUP(M48,PPTO!$J$8:$J$269,PPTO!F$8:F$269))</f>
        <v xml:space="preserve"> </v>
      </c>
      <c r="F48" s="90" t="str">
        <f>IF(LOOKUP(M48,PPTO!$J$8:$J$269,PPTO!H$8:H$269)=0," ",LOOKUP(M48,PPTO!$J$8:$J$269,PPTO!H$8:H$269))</f>
        <v xml:space="preserve"> </v>
      </c>
      <c r="G48" s="178"/>
      <c r="H48" s="102"/>
      <c r="I48" s="174"/>
      <c r="J48" s="102"/>
      <c r="K48" s="102">
        <f>I48+'ACTA PARCIAL No.7'!K48</f>
        <v>0</v>
      </c>
      <c r="L48" s="102"/>
      <c r="M48" s="108">
        <f t="shared" si="0"/>
        <v>32</v>
      </c>
    </row>
    <row r="49" spans="1:13">
      <c r="A49" s="87" t="str">
        <f>IF(LOOKUP(M49,PPTO!$J$8:$J$269,PPTO!A$8:A$269)=0," ",LOOKUP(M49,PPTO!$J$8:$J$269,PPTO!A$8:A$269))</f>
        <v>5.01</v>
      </c>
      <c r="B49" s="91" t="str">
        <f>IF(LOOKUP(M49,PPTO!$J$8:J$269,PPTO!B$8:B$269)=0," ",LOOKUP(M49,PPTO!$J$8:J$269,PPTO!B$8:B$269))</f>
        <v xml:space="preserve"> </v>
      </c>
      <c r="C49" s="89" t="str">
        <f>IF(LOOKUP(M49,PPTO!$J$8:$J$269,PPTO!D$8:D$269)=0," ",LOOKUP(M49,PPTO!$J$8:$J$269,PPTO!D$8:D$269))</f>
        <v>M3</v>
      </c>
      <c r="D49" s="90" t="str">
        <f>IF(LOOKUP(M49,PPTO!$J$8:$J$269,PPTO!E$8:E$269)=0," ",LOOKUP(M49,PPTO!$J$8:$J$269,PPTO!E$8:E$269))</f>
        <v xml:space="preserve"> </v>
      </c>
      <c r="E49" s="90" t="str">
        <f>IF(LOOKUP(M49,PPTO!$J$8:$J$269,PPTO!F$8:F$269)=0," ",LOOKUP(M49,PPTO!$J$8:$J$269,PPTO!F$8:F$269))</f>
        <v xml:space="preserve"> </v>
      </c>
      <c r="F49" s="90" t="str">
        <f>IF(LOOKUP(M49,PPTO!$J$8:$J$269,PPTO!H$8:H$269)=0," ",LOOKUP(M49,PPTO!$J$8:$J$269,PPTO!H$8:H$269))</f>
        <v xml:space="preserve"> </v>
      </c>
      <c r="G49" s="178">
        <v>293.73</v>
      </c>
      <c r="H49" s="102" t="e">
        <f t="shared" si="1"/>
        <v>#VALUE!</v>
      </c>
      <c r="I49" s="174">
        <v>0</v>
      </c>
      <c r="J49" s="102" t="e">
        <f t="shared" si="2"/>
        <v>#VALUE!</v>
      </c>
      <c r="K49" s="102" t="e">
        <f>I49+'ACTA PARCIAL No.7'!K49</f>
        <v>#REF!</v>
      </c>
      <c r="L49" s="102" t="e">
        <f t="shared" si="3"/>
        <v>#REF!</v>
      </c>
      <c r="M49" s="108">
        <f t="shared" si="0"/>
        <v>33</v>
      </c>
    </row>
    <row r="50" spans="1:13">
      <c r="A50" s="87" t="str">
        <f>IF(LOOKUP(M50,PPTO!$J$8:$J$269,PPTO!A$8:A$269)=0," ",LOOKUP(M50,PPTO!$J$8:$J$269,PPTO!A$8:A$269))</f>
        <v>5.02</v>
      </c>
      <c r="B50" s="91" t="str">
        <f>IF(LOOKUP(M50,PPTO!$J$8:J$269,PPTO!B$8:B$269)=0," ",LOOKUP(M50,PPTO!$J$8:J$269,PPTO!B$8:B$269))</f>
        <v xml:space="preserve"> </v>
      </c>
      <c r="C50" s="89" t="str">
        <f>IF(LOOKUP(M50,PPTO!$J$8:$J$269,PPTO!D$8:D$269)=0," ",LOOKUP(M50,PPTO!$J$8:$J$269,PPTO!D$8:D$269))</f>
        <v>UND</v>
      </c>
      <c r="D50" s="90" t="str">
        <f>IF(LOOKUP(M50,PPTO!$J$8:$J$269,PPTO!E$8:E$269)=0," ",LOOKUP(M50,PPTO!$J$8:$J$269,PPTO!E$8:E$269))</f>
        <v xml:space="preserve"> </v>
      </c>
      <c r="E50" s="90" t="str">
        <f>IF(LOOKUP(M50,PPTO!$J$8:$J$269,PPTO!F$8:F$269)=0," ",LOOKUP(M50,PPTO!$J$8:$J$269,PPTO!F$8:F$269))</f>
        <v xml:space="preserve"> </v>
      </c>
      <c r="F50" s="90" t="str">
        <f>IF(LOOKUP(M50,PPTO!$J$8:$J$269,PPTO!H$8:H$269)=0," ",LOOKUP(M50,PPTO!$J$8:$J$269,PPTO!H$8:H$269))</f>
        <v xml:space="preserve"> </v>
      </c>
      <c r="G50" s="178">
        <v>912.33</v>
      </c>
      <c r="H50" s="102" t="e">
        <f t="shared" si="1"/>
        <v>#VALUE!</v>
      </c>
      <c r="I50" s="174">
        <v>0</v>
      </c>
      <c r="J50" s="102" t="e">
        <f t="shared" si="2"/>
        <v>#VALUE!</v>
      </c>
      <c r="K50" s="102" t="e">
        <f>I50+'ACTA PARCIAL No.7'!K50</f>
        <v>#REF!</v>
      </c>
      <c r="L50" s="102" t="e">
        <f t="shared" si="3"/>
        <v>#REF!</v>
      </c>
      <c r="M50" s="108">
        <f t="shared" si="0"/>
        <v>34</v>
      </c>
    </row>
    <row r="51" spans="1:13">
      <c r="A51" s="87" t="str">
        <f>IF(LOOKUP(M51,PPTO!$J$8:$J$269,PPTO!A$8:A$269)=0," ",LOOKUP(M51,PPTO!$J$8:$J$269,PPTO!A$8:A$269))</f>
        <v>5.03</v>
      </c>
      <c r="B51" s="91" t="str">
        <f>IF(LOOKUP(M51,PPTO!$J$8:J$269,PPTO!B$8:B$269)=0," ",LOOKUP(M51,PPTO!$J$8:J$269,PPTO!B$8:B$269))</f>
        <v xml:space="preserve"> </v>
      </c>
      <c r="C51" s="89" t="str">
        <f>IF(LOOKUP(M51,PPTO!$J$8:$J$269,PPTO!D$8:D$269)=0," ",LOOKUP(M51,PPTO!$J$8:$J$269,PPTO!D$8:D$269))</f>
        <v>UND</v>
      </c>
      <c r="D51" s="90" t="str">
        <f>IF(LOOKUP(M51,PPTO!$J$8:$J$269,PPTO!E$8:E$269)=0," ",LOOKUP(M51,PPTO!$J$8:$J$269,PPTO!E$8:E$269))</f>
        <v xml:space="preserve"> </v>
      </c>
      <c r="E51" s="90" t="str">
        <f>IF(LOOKUP(M51,PPTO!$J$8:$J$269,PPTO!F$8:F$269)=0," ",LOOKUP(M51,PPTO!$J$8:$J$269,PPTO!F$8:F$269))</f>
        <v xml:space="preserve"> </v>
      </c>
      <c r="F51" s="90" t="str">
        <f>IF(LOOKUP(M51,PPTO!$J$8:$J$269,PPTO!H$8:H$269)=0," ",LOOKUP(M51,PPTO!$J$8:$J$269,PPTO!H$8:H$269))</f>
        <v xml:space="preserve"> </v>
      </c>
      <c r="G51" s="178">
        <v>1259</v>
      </c>
      <c r="H51" s="102" t="e">
        <f t="shared" si="1"/>
        <v>#VALUE!</v>
      </c>
      <c r="I51" s="174">
        <v>0</v>
      </c>
      <c r="J51" s="102" t="e">
        <f t="shared" si="2"/>
        <v>#VALUE!</v>
      </c>
      <c r="K51" s="102" t="e">
        <f>I51+'ACTA PARCIAL No.7'!K51</f>
        <v>#REF!</v>
      </c>
      <c r="L51" s="102" t="e">
        <f t="shared" si="3"/>
        <v>#REF!</v>
      </c>
      <c r="M51" s="108">
        <f t="shared" si="0"/>
        <v>35</v>
      </c>
    </row>
    <row r="52" spans="1:13">
      <c r="A52" s="87" t="str">
        <f>IF(LOOKUP(M52,PPTO!$J$8:$J$269,PPTO!A$8:A$269)=0," ",LOOKUP(M52,PPTO!$J$8:$J$269,PPTO!A$8:A$269))</f>
        <v>5.04</v>
      </c>
      <c r="B52" s="91" t="str">
        <f>IF(LOOKUP(M52,PPTO!$J$8:J$269,PPTO!B$8:B$269)=0," ",LOOKUP(M52,PPTO!$J$8:J$269,PPTO!B$8:B$269))</f>
        <v xml:space="preserve"> </v>
      </c>
      <c r="C52" s="89" t="str">
        <f>IF(LOOKUP(M52,PPTO!$J$8:$J$269,PPTO!D$8:D$269)=0," ",LOOKUP(M52,PPTO!$J$8:$J$269,PPTO!D$8:D$269))</f>
        <v>UND</v>
      </c>
      <c r="D52" s="90" t="str">
        <f>IF(LOOKUP(M52,PPTO!$J$8:$J$269,PPTO!E$8:E$269)=0," ",LOOKUP(M52,PPTO!$J$8:$J$269,PPTO!E$8:E$269))</f>
        <v xml:space="preserve"> </v>
      </c>
      <c r="E52" s="90" t="str">
        <f>IF(LOOKUP(M52,PPTO!$J$8:$J$269,PPTO!F$8:F$269)=0," ",LOOKUP(M52,PPTO!$J$8:$J$269,PPTO!F$8:F$269))</f>
        <v xml:space="preserve"> </v>
      </c>
      <c r="F52" s="90" t="str">
        <f>IF(LOOKUP(M52,PPTO!$J$8:$J$269,PPTO!H$8:H$269)=0," ",LOOKUP(M52,PPTO!$J$8:$J$269,PPTO!H$8:H$269))</f>
        <v xml:space="preserve"> </v>
      </c>
      <c r="G52" s="178">
        <v>140</v>
      </c>
      <c r="H52" s="102" t="e">
        <f t="shared" si="1"/>
        <v>#VALUE!</v>
      </c>
      <c r="I52" s="174">
        <v>0</v>
      </c>
      <c r="J52" s="102" t="e">
        <f t="shared" si="2"/>
        <v>#VALUE!</v>
      </c>
      <c r="K52" s="102" t="e">
        <f>I52+'ACTA PARCIAL No.7'!K52</f>
        <v>#REF!</v>
      </c>
      <c r="L52" s="102" t="e">
        <f t="shared" si="3"/>
        <v>#REF!</v>
      </c>
      <c r="M52" s="108">
        <f t="shared" si="0"/>
        <v>36</v>
      </c>
    </row>
    <row r="53" spans="1:13">
      <c r="A53" s="87" t="str">
        <f>IF(LOOKUP(M53,PPTO!$J$8:$J$269,PPTO!A$8:A$269)=0," ",LOOKUP(M53,PPTO!$J$8:$J$269,PPTO!A$8:A$269))</f>
        <v>5.05</v>
      </c>
      <c r="B53" s="91" t="str">
        <f>IF(LOOKUP(M53,PPTO!$J$8:J$269,PPTO!B$8:B$269)=0," ",LOOKUP(M53,PPTO!$J$8:J$269,PPTO!B$8:B$269))</f>
        <v xml:space="preserve"> </v>
      </c>
      <c r="C53" s="89" t="str">
        <f>IF(LOOKUP(M53,PPTO!$J$8:$J$269,PPTO!D$8:D$269)=0," ",LOOKUP(M53,PPTO!$J$8:$J$269,PPTO!D$8:D$269))</f>
        <v>UND</v>
      </c>
      <c r="D53" s="90" t="str">
        <f>IF(LOOKUP(M53,PPTO!$J$8:$J$269,PPTO!E$8:E$269)=0," ",LOOKUP(M53,PPTO!$J$8:$J$269,PPTO!E$8:E$269))</f>
        <v xml:space="preserve"> </v>
      </c>
      <c r="E53" s="90" t="str">
        <f>IF(LOOKUP(M53,PPTO!$J$8:$J$269,PPTO!F$8:F$269)=0," ",LOOKUP(M53,PPTO!$J$8:$J$269,PPTO!F$8:F$269))</f>
        <v xml:space="preserve"> </v>
      </c>
      <c r="F53" s="90" t="str">
        <f>IF(LOOKUP(M53,PPTO!$J$8:$J$269,PPTO!H$8:H$269)=0," ",LOOKUP(M53,PPTO!$J$8:$J$269,PPTO!H$8:H$269))</f>
        <v xml:space="preserve"> </v>
      </c>
      <c r="G53" s="178">
        <v>84</v>
      </c>
      <c r="H53" s="102" t="e">
        <f t="shared" si="1"/>
        <v>#VALUE!</v>
      </c>
      <c r="I53" s="174">
        <v>84</v>
      </c>
      <c r="J53" s="102" t="e">
        <f t="shared" si="2"/>
        <v>#VALUE!</v>
      </c>
      <c r="K53" s="102" t="e">
        <f>I53+'ACTA PARCIAL No.7'!K53</f>
        <v>#REF!</v>
      </c>
      <c r="L53" s="102" t="e">
        <f t="shared" si="3"/>
        <v>#REF!</v>
      </c>
      <c r="M53" s="108">
        <f t="shared" si="0"/>
        <v>37</v>
      </c>
    </row>
    <row r="54" spans="1:13">
      <c r="A54" s="87" t="str">
        <f>IF(LOOKUP(M54,PPTO!$J$8:$J$269,PPTO!A$8:A$269)=0," ",LOOKUP(M54,PPTO!$J$8:$J$269,PPTO!A$8:A$269))</f>
        <v>5.06</v>
      </c>
      <c r="B54" s="91" t="str">
        <f>IF(LOOKUP(M54,PPTO!$J$8:J$269,PPTO!B$8:B$269)=0," ",LOOKUP(M54,PPTO!$J$8:J$269,PPTO!B$8:B$269))</f>
        <v xml:space="preserve"> </v>
      </c>
      <c r="C54" s="89" t="str">
        <f>IF(LOOKUP(M54,PPTO!$J$8:$J$269,PPTO!D$8:D$269)=0," ",LOOKUP(M54,PPTO!$J$8:$J$269,PPTO!D$8:D$269))</f>
        <v>UND</v>
      </c>
      <c r="D54" s="90" t="str">
        <f>IF(LOOKUP(M54,PPTO!$J$8:$J$269,PPTO!E$8:E$269)=0," ",LOOKUP(M54,PPTO!$J$8:$J$269,PPTO!E$8:E$269))</f>
        <v xml:space="preserve"> </v>
      </c>
      <c r="E54" s="90" t="str">
        <f>IF(LOOKUP(M54,PPTO!$J$8:$J$269,PPTO!F$8:F$269)=0," ",LOOKUP(M54,PPTO!$J$8:$J$269,PPTO!F$8:F$269))</f>
        <v xml:space="preserve"> </v>
      </c>
      <c r="F54" s="90" t="str">
        <f>IF(LOOKUP(M54,PPTO!$J$8:$J$269,PPTO!H$8:H$269)=0," ",LOOKUP(M54,PPTO!$J$8:$J$269,PPTO!H$8:H$269))</f>
        <v xml:space="preserve"> </v>
      </c>
      <c r="G54" s="178">
        <v>19</v>
      </c>
      <c r="H54" s="102" t="e">
        <f t="shared" si="1"/>
        <v>#VALUE!</v>
      </c>
      <c r="I54" s="174">
        <v>0</v>
      </c>
      <c r="J54" s="102" t="e">
        <f t="shared" si="2"/>
        <v>#VALUE!</v>
      </c>
      <c r="K54" s="102" t="e">
        <f>I54+'ACTA PARCIAL No.7'!K54</f>
        <v>#REF!</v>
      </c>
      <c r="L54" s="102" t="e">
        <f t="shared" si="3"/>
        <v>#REF!</v>
      </c>
      <c r="M54" s="108">
        <f t="shared" si="0"/>
        <v>38</v>
      </c>
    </row>
    <row r="55" spans="1:13">
      <c r="A55" s="87">
        <f>IF(LOOKUP(M55,PPTO!$J$8:$J$269,PPTO!A$8:A$269)=0," ",LOOKUP(M55,PPTO!$J$8:$J$269,PPTO!A$8:A$269))</f>
        <v>6</v>
      </c>
      <c r="B55" s="91" t="str">
        <f>IF(LOOKUP(M55,PPTO!$J$8:J$269,PPTO!B$8:B$269)=0," ",LOOKUP(M55,PPTO!$J$8:J$269,PPTO!B$8:B$269))</f>
        <v>CONSTRUCCION DE PAVIMENTOS</v>
      </c>
      <c r="C55" s="89" t="str">
        <f>IF(LOOKUP(M55,PPTO!$J$8:$J$269,PPTO!D$8:D$269)=0," ",LOOKUP(M55,PPTO!$J$8:$J$269,PPTO!D$8:D$269))</f>
        <v xml:space="preserve"> </v>
      </c>
      <c r="D55" s="90" t="str">
        <f>IF(LOOKUP(M55,PPTO!$J$8:$J$269,PPTO!E$8:E$269)=0," ",LOOKUP(M55,PPTO!$J$8:$J$269,PPTO!E$8:E$269))</f>
        <v xml:space="preserve"> </v>
      </c>
      <c r="E55" s="90" t="str">
        <f>IF(LOOKUP(M55,PPTO!$J$8:$J$269,PPTO!F$8:F$269)=0," ",LOOKUP(M55,PPTO!$J$8:$J$269,PPTO!F$8:F$269))</f>
        <v xml:space="preserve"> </v>
      </c>
      <c r="F55" s="90" t="str">
        <f>IF(LOOKUP(M55,PPTO!$J$8:$J$269,PPTO!H$8:H$269)=0," ",LOOKUP(M55,PPTO!$J$8:$J$269,PPTO!H$8:H$269))</f>
        <v xml:space="preserve"> </v>
      </c>
      <c r="G55" s="178"/>
      <c r="H55" s="102"/>
      <c r="I55" s="174"/>
      <c r="J55" s="102"/>
      <c r="K55" s="102"/>
      <c r="L55" s="102"/>
      <c r="M55" s="108">
        <f t="shared" si="0"/>
        <v>39</v>
      </c>
    </row>
    <row r="56" spans="1:13">
      <c r="A56" s="87" t="str">
        <f>IF(LOOKUP(M56,PPTO!$J$8:$J$269,PPTO!A$8:A$269)=0," ",LOOKUP(M56,PPTO!$J$8:$J$269,PPTO!A$8:A$269))</f>
        <v>6.01</v>
      </c>
      <c r="B56" s="91" t="str">
        <f>IF(LOOKUP(M56,PPTO!$J$8:J$269,PPTO!B$8:B$269)=0," ",LOOKUP(M56,PPTO!$J$8:J$269,PPTO!B$8:B$269))</f>
        <v xml:space="preserve"> </v>
      </c>
      <c r="C56" s="89" t="str">
        <f>IF(LOOKUP(M56,PPTO!$J$8:$J$269,PPTO!D$8:D$269)=0," ",LOOKUP(M56,PPTO!$J$8:$J$269,PPTO!D$8:D$269))</f>
        <v>M2</v>
      </c>
      <c r="D56" s="90" t="str">
        <f>IF(LOOKUP(M56,PPTO!$J$8:$J$269,PPTO!E$8:E$269)=0," ",LOOKUP(M56,PPTO!$J$8:$J$269,PPTO!E$8:E$269))</f>
        <v xml:space="preserve"> </v>
      </c>
      <c r="E56" s="90" t="str">
        <f>IF(LOOKUP(M56,PPTO!$J$8:$J$269,PPTO!F$8:F$269)=0," ",LOOKUP(M56,PPTO!$J$8:$J$269,PPTO!F$8:F$269))</f>
        <v xml:space="preserve"> </v>
      </c>
      <c r="F56" s="90" t="str">
        <f>IF(LOOKUP(M56,PPTO!$J$8:$J$269,PPTO!H$8:H$269)=0," ",LOOKUP(M56,PPTO!$J$8:$J$269,PPTO!H$8:H$269))</f>
        <v xml:space="preserve"> </v>
      </c>
      <c r="G56" s="178">
        <v>4134</v>
      </c>
      <c r="H56" s="102" t="e">
        <f t="shared" si="1"/>
        <v>#VALUE!</v>
      </c>
      <c r="I56" s="174">
        <v>0</v>
      </c>
      <c r="J56" s="102" t="e">
        <f t="shared" si="2"/>
        <v>#VALUE!</v>
      </c>
      <c r="K56" s="102" t="e">
        <f>I56+'ACTA PARCIAL No.7'!K56</f>
        <v>#REF!</v>
      </c>
      <c r="L56" s="102" t="e">
        <f t="shared" si="3"/>
        <v>#REF!</v>
      </c>
      <c r="M56" s="108">
        <f t="shared" si="0"/>
        <v>40</v>
      </c>
    </row>
    <row r="57" spans="1:13">
      <c r="A57" s="87" t="str">
        <f>IF(LOOKUP(M57,PPTO!$J$8:$J$269,PPTO!A$8:A$269)=0," ",LOOKUP(M57,PPTO!$J$8:$J$269,PPTO!A$8:A$269))</f>
        <v>6.02</v>
      </c>
      <c r="B57" s="91" t="str">
        <f>IF(LOOKUP(M57,PPTO!$J$8:J$269,PPTO!B$8:B$269)=0," ",LOOKUP(M57,PPTO!$J$8:J$269,PPTO!B$8:B$269))</f>
        <v xml:space="preserve"> </v>
      </c>
      <c r="C57" s="89" t="str">
        <f>IF(LOOKUP(M57,PPTO!$J$8:$J$269,PPTO!D$8:D$269)=0," ",LOOKUP(M57,PPTO!$J$8:$J$269,PPTO!D$8:D$269))</f>
        <v>M3</v>
      </c>
      <c r="D57" s="90" t="str">
        <f>IF(LOOKUP(M57,PPTO!$J$8:$J$269,PPTO!E$8:E$269)=0," ",LOOKUP(M57,PPTO!$J$8:$J$269,PPTO!E$8:E$269))</f>
        <v xml:space="preserve"> </v>
      </c>
      <c r="E57" s="90" t="str">
        <f>IF(LOOKUP(M57,PPTO!$J$8:$J$269,PPTO!F$8:F$269)=0," ",LOOKUP(M57,PPTO!$J$8:$J$269,PPTO!F$8:F$269))</f>
        <v xml:space="preserve"> </v>
      </c>
      <c r="F57" s="90" t="str">
        <f>IF(LOOKUP(M57,PPTO!$J$8:$J$269,PPTO!H$8:H$269)=0," ",LOOKUP(M57,PPTO!$J$8:$J$269,PPTO!H$8:H$269))</f>
        <v xml:space="preserve"> </v>
      </c>
      <c r="G57" s="178">
        <v>1243</v>
      </c>
      <c r="H57" s="102" t="e">
        <f t="shared" si="1"/>
        <v>#VALUE!</v>
      </c>
      <c r="I57" s="174">
        <v>0</v>
      </c>
      <c r="J57" s="102" t="e">
        <f t="shared" si="2"/>
        <v>#VALUE!</v>
      </c>
      <c r="K57" s="102" t="e">
        <f>I57+'ACTA PARCIAL No.7'!K57</f>
        <v>#REF!</v>
      </c>
      <c r="L57" s="102" t="e">
        <f t="shared" si="3"/>
        <v>#REF!</v>
      </c>
      <c r="M57" s="108">
        <f t="shared" si="0"/>
        <v>41</v>
      </c>
    </row>
    <row r="58" spans="1:13">
      <c r="A58" s="87" t="str">
        <f>IF(LOOKUP(M58,PPTO!$J$8:$J$269,PPTO!A$8:A$269)=0," ",LOOKUP(M58,PPTO!$J$8:$J$269,PPTO!A$8:A$269))</f>
        <v>6.04</v>
      </c>
      <c r="B58" s="91" t="str">
        <f>IF(LOOKUP(M58,PPTO!$J$8:J$269,PPTO!B$8:B$269)=0," ",LOOKUP(M58,PPTO!$J$8:J$269,PPTO!B$8:B$269))</f>
        <v xml:space="preserve"> </v>
      </c>
      <c r="C58" s="89" t="str">
        <f>IF(LOOKUP(M58,PPTO!$J$8:$J$269,PPTO!D$8:D$269)=0," ",LOOKUP(M58,PPTO!$J$8:$J$269,PPTO!D$8:D$269))</f>
        <v>M2</v>
      </c>
      <c r="D58" s="90" t="str">
        <f>IF(LOOKUP(M58,PPTO!$J$8:$J$269,PPTO!E$8:E$269)=0," ",LOOKUP(M58,PPTO!$J$8:$J$269,PPTO!E$8:E$269))</f>
        <v xml:space="preserve"> </v>
      </c>
      <c r="E58" s="90" t="str">
        <f>IF(LOOKUP(M58,PPTO!$J$8:$J$269,PPTO!F$8:F$269)=0," ",LOOKUP(M58,PPTO!$J$8:$J$269,PPTO!F$8:F$269))</f>
        <v xml:space="preserve"> </v>
      </c>
      <c r="F58" s="90" t="str">
        <f>IF(LOOKUP(M58,PPTO!$J$8:$J$269,PPTO!H$8:H$269)=0," ",LOOKUP(M58,PPTO!$J$8:$J$269,PPTO!H$8:H$269))</f>
        <v xml:space="preserve"> </v>
      </c>
      <c r="G58" s="178">
        <v>1259</v>
      </c>
      <c r="H58" s="102" t="e">
        <f t="shared" si="1"/>
        <v>#VALUE!</v>
      </c>
      <c r="I58" s="174">
        <v>0</v>
      </c>
      <c r="J58" s="102" t="e">
        <f t="shared" si="2"/>
        <v>#VALUE!</v>
      </c>
      <c r="K58" s="102" t="e">
        <f>I58+'ACTA PARCIAL No.7'!K58</f>
        <v>#REF!</v>
      </c>
      <c r="L58" s="102" t="e">
        <f t="shared" si="3"/>
        <v>#REF!</v>
      </c>
      <c r="M58" s="108">
        <f t="shared" si="0"/>
        <v>42</v>
      </c>
    </row>
    <row r="59" spans="1:13">
      <c r="A59" s="87" t="str">
        <f>IF(LOOKUP(M59,PPTO!$J$8:$J$269,PPTO!A$8:A$269)=0," ",LOOKUP(M59,PPTO!$J$8:$J$269,PPTO!A$8:A$269))</f>
        <v>6.05</v>
      </c>
      <c r="B59" s="91" t="str">
        <f>IF(LOOKUP(M59,PPTO!$J$8:J$269,PPTO!B$8:B$269)=0," ",LOOKUP(M59,PPTO!$J$8:J$269,PPTO!B$8:B$269))</f>
        <v xml:space="preserve"> </v>
      </c>
      <c r="C59" s="89" t="str">
        <f>IF(LOOKUP(M59,PPTO!$J$8:$J$269,PPTO!D$8:D$269)=0," ",LOOKUP(M59,PPTO!$J$8:$J$269,PPTO!D$8:D$269))</f>
        <v>ML</v>
      </c>
      <c r="D59" s="90" t="str">
        <f>IF(LOOKUP(M59,PPTO!$J$8:$J$269,PPTO!E$8:E$269)=0," ",LOOKUP(M59,PPTO!$J$8:$J$269,PPTO!E$8:E$269))</f>
        <v xml:space="preserve"> </v>
      </c>
      <c r="E59" s="90" t="str">
        <f>IF(LOOKUP(M59,PPTO!$J$8:$J$269,PPTO!F$8:F$269)=0," ",LOOKUP(M59,PPTO!$J$8:$J$269,PPTO!F$8:F$269))</f>
        <v xml:space="preserve"> </v>
      </c>
      <c r="F59" s="90" t="str">
        <f>IF(LOOKUP(M59,PPTO!$J$8:$J$269,PPTO!H$8:H$269)=0," ",LOOKUP(M59,PPTO!$J$8:$J$269,PPTO!H$8:H$269))</f>
        <v xml:space="preserve"> </v>
      </c>
      <c r="G59" s="178">
        <v>1259</v>
      </c>
      <c r="H59" s="102" t="e">
        <f t="shared" si="1"/>
        <v>#VALUE!</v>
      </c>
      <c r="I59" s="174">
        <v>0</v>
      </c>
      <c r="J59" s="102" t="e">
        <f t="shared" si="2"/>
        <v>#VALUE!</v>
      </c>
      <c r="K59" s="102" t="e">
        <f>I59+'ACTA PARCIAL No.7'!K59</f>
        <v>#REF!</v>
      </c>
      <c r="L59" s="102" t="e">
        <f t="shared" si="3"/>
        <v>#REF!</v>
      </c>
      <c r="M59" s="108">
        <f t="shared" si="0"/>
        <v>43</v>
      </c>
    </row>
    <row r="60" spans="1:13">
      <c r="A60" s="87" t="str">
        <f>IF(LOOKUP(M60,PPTO!$J$8:$J$269,PPTO!A$8:A$269)=0," ",LOOKUP(M60,PPTO!$J$8:$J$269,PPTO!A$8:A$269))</f>
        <v>6.06</v>
      </c>
      <c r="B60" s="91" t="str">
        <f>IF(LOOKUP(M60,PPTO!$J$8:J$269,PPTO!B$8:B$269)=0," ",LOOKUP(M60,PPTO!$J$8:J$269,PPTO!B$8:B$269))</f>
        <v xml:space="preserve"> </v>
      </c>
      <c r="C60" s="89" t="str">
        <f>IF(LOOKUP(M60,PPTO!$J$8:$J$269,PPTO!D$8:D$269)=0," ",LOOKUP(M60,PPTO!$J$8:$J$269,PPTO!D$8:D$269))</f>
        <v>M2</v>
      </c>
      <c r="D60" s="90" t="str">
        <f>IF(LOOKUP(M60,PPTO!$J$8:$J$269,PPTO!E$8:E$269)=0," ",LOOKUP(M60,PPTO!$J$8:$J$269,PPTO!E$8:E$269))</f>
        <v xml:space="preserve"> </v>
      </c>
      <c r="E60" s="90" t="str">
        <f>IF(LOOKUP(M60,PPTO!$J$8:$J$269,PPTO!F$8:F$269)=0," ",LOOKUP(M60,PPTO!$J$8:$J$269,PPTO!F$8:F$269))</f>
        <v xml:space="preserve"> </v>
      </c>
      <c r="F60" s="90" t="str">
        <f>IF(LOOKUP(M60,PPTO!$J$8:$J$269,PPTO!H$8:H$269)=0," ",LOOKUP(M60,PPTO!$J$8:$J$269,PPTO!H$8:H$269))</f>
        <v xml:space="preserve"> </v>
      </c>
      <c r="G60" s="178">
        <v>140</v>
      </c>
      <c r="H60" s="102" t="e">
        <f t="shared" si="1"/>
        <v>#VALUE!</v>
      </c>
      <c r="I60" s="174">
        <v>0</v>
      </c>
      <c r="J60" s="102" t="e">
        <f t="shared" si="2"/>
        <v>#VALUE!</v>
      </c>
      <c r="K60" s="102" t="e">
        <f>I60+'ACTA PARCIAL No.7'!K60</f>
        <v>#REF!</v>
      </c>
      <c r="L60" s="102" t="e">
        <f t="shared" si="3"/>
        <v>#REF!</v>
      </c>
      <c r="M60" s="108">
        <f t="shared" si="0"/>
        <v>44</v>
      </c>
    </row>
    <row r="61" spans="1:13">
      <c r="A61" s="87"/>
      <c r="B61" s="154"/>
      <c r="C61" s="155"/>
      <c r="D61" s="156"/>
      <c r="E61" s="156"/>
      <c r="F61" s="176"/>
      <c r="G61" s="179"/>
      <c r="H61" s="177"/>
      <c r="I61" s="174"/>
      <c r="J61" s="102"/>
      <c r="K61" s="102"/>
      <c r="L61" s="102"/>
      <c r="M61" s="108"/>
    </row>
    <row r="62" spans="1:13">
      <c r="A62" s="87"/>
      <c r="B62" s="275" t="s">
        <v>348</v>
      </c>
      <c r="C62" s="276"/>
      <c r="D62" s="277"/>
      <c r="E62" s="277"/>
      <c r="F62" s="277">
        <v>0</v>
      </c>
      <c r="G62" s="278"/>
      <c r="H62" s="278">
        <v>0</v>
      </c>
      <c r="I62" s="279"/>
      <c r="J62" s="279">
        <v>0</v>
      </c>
      <c r="K62" s="279"/>
      <c r="L62" s="279">
        <v>0</v>
      </c>
      <c r="M62" s="108"/>
    </row>
    <row r="63" spans="1:13" ht="12.75" thickBot="1">
      <c r="A63" s="87"/>
      <c r="B63" s="154"/>
      <c r="C63" s="155"/>
      <c r="D63" s="156"/>
      <c r="E63" s="156"/>
      <c r="F63" s="156"/>
      <c r="G63" s="161"/>
      <c r="H63" s="161"/>
      <c r="I63" s="102"/>
      <c r="J63" s="102"/>
      <c r="K63" s="102"/>
      <c r="L63" s="102"/>
      <c r="M63" s="108"/>
    </row>
    <row r="64" spans="1:13" ht="12.75" thickBot="1">
      <c r="A64" s="87"/>
      <c r="B64" s="280" t="s">
        <v>323</v>
      </c>
      <c r="C64" s="281"/>
      <c r="D64" s="282"/>
      <c r="E64" s="282"/>
      <c r="F64" s="283">
        <f>SUM(F19:F63)</f>
        <v>0</v>
      </c>
      <c r="G64" s="284"/>
      <c r="H64" s="283" t="e">
        <f>SUM(H19:H63)</f>
        <v>#VALUE!</v>
      </c>
      <c r="I64" s="284"/>
      <c r="J64" s="283" t="e">
        <f>SUM(J19:J63)</f>
        <v>#VALUE!</v>
      </c>
      <c r="K64" s="284"/>
      <c r="L64" s="283" t="e">
        <f>SUM(L19:L63)</f>
        <v>#REF!</v>
      </c>
      <c r="M64" s="108"/>
    </row>
    <row r="65" spans="1:13">
      <c r="A65" s="87"/>
      <c r="B65" s="285" t="s">
        <v>174</v>
      </c>
      <c r="C65" s="286" t="s">
        <v>296</v>
      </c>
      <c r="D65" s="287">
        <f>DATOS!E184</f>
        <v>18.5</v>
      </c>
      <c r="E65" s="288"/>
      <c r="F65" s="288">
        <f>ROUND(F$64*$D$65/100,0)</f>
        <v>0</v>
      </c>
      <c r="G65" s="289"/>
      <c r="H65" s="288" t="e">
        <f>ROUND(H$64*$D$65/100,0)</f>
        <v>#VALUE!</v>
      </c>
      <c r="I65" s="289"/>
      <c r="J65" s="288" t="e">
        <f>ROUND(J$64*$D$65/100,0)</f>
        <v>#VALUE!</v>
      </c>
      <c r="K65" s="289"/>
      <c r="L65" s="288" t="e">
        <f>ROUND(L$64*$D$65/100,0)</f>
        <v>#REF!</v>
      </c>
      <c r="M65" s="108"/>
    </row>
    <row r="66" spans="1:13">
      <c r="A66" s="87"/>
      <c r="B66" s="290" t="s">
        <v>166</v>
      </c>
      <c r="C66" s="291" t="s">
        <v>296</v>
      </c>
      <c r="D66" s="292">
        <f>DATOS!E186</f>
        <v>5</v>
      </c>
      <c r="E66" s="293"/>
      <c r="F66" s="288">
        <f>ROUND(F$64*$D$66/100,0)</f>
        <v>0</v>
      </c>
      <c r="G66" s="279"/>
      <c r="H66" s="288" t="e">
        <f>ROUND(H$64*$D$66/100,0)</f>
        <v>#VALUE!</v>
      </c>
      <c r="I66" s="279"/>
      <c r="J66" s="288" t="e">
        <f>ROUND(J$64*$D$66/100,0)</f>
        <v>#VALUE!</v>
      </c>
      <c r="K66" s="279"/>
      <c r="L66" s="288" t="e">
        <f>ROUND(L$64*$D$66/100,0)</f>
        <v>#REF!</v>
      </c>
      <c r="M66" s="108"/>
    </row>
    <row r="67" spans="1:13" ht="12.75" thickBot="1">
      <c r="A67" s="87"/>
      <c r="B67" s="294" t="s">
        <v>167</v>
      </c>
      <c r="C67" s="295" t="s">
        <v>296</v>
      </c>
      <c r="D67" s="292">
        <f>DATOS!E188</f>
        <v>8</v>
      </c>
      <c r="E67" s="293"/>
      <c r="F67" s="288">
        <f>ROUND(F$64*$D$67/100,0)</f>
        <v>0</v>
      </c>
      <c r="G67" s="279"/>
      <c r="H67" s="288" t="e">
        <f>ROUND(H$64*$D$67/100,0)</f>
        <v>#VALUE!</v>
      </c>
      <c r="I67" s="279"/>
      <c r="J67" s="288" t="e">
        <f>ROUND(J$64*$D$67/100,0)</f>
        <v>#VALUE!</v>
      </c>
      <c r="K67" s="279"/>
      <c r="L67" s="288" t="e">
        <f>ROUND(L$64*$D$67/100,0)</f>
        <v>#REF!</v>
      </c>
      <c r="M67" s="108"/>
    </row>
    <row r="68" spans="1:13" ht="12.75" thickBot="1">
      <c r="A68" s="87"/>
      <c r="B68" s="280" t="s">
        <v>324</v>
      </c>
      <c r="C68" s="281"/>
      <c r="D68" s="282"/>
      <c r="E68" s="282"/>
      <c r="F68" s="283">
        <f>SUM(F65:F67)</f>
        <v>0</v>
      </c>
      <c r="G68" s="284"/>
      <c r="H68" s="283" t="e">
        <f>SUM(H65:H67)</f>
        <v>#VALUE!</v>
      </c>
      <c r="I68" s="284"/>
      <c r="J68" s="283" t="e">
        <f>SUM(J65:J67)</f>
        <v>#VALUE!</v>
      </c>
      <c r="K68" s="284"/>
      <c r="L68" s="283" t="e">
        <f>SUM(L65:L67)</f>
        <v>#REF!</v>
      </c>
      <c r="M68" s="108"/>
    </row>
    <row r="69" spans="1:13" ht="19.149999999999999" customHeight="1" thickBot="1">
      <c r="A69" s="87"/>
      <c r="B69" s="1150"/>
      <c r="C69" s="1150"/>
      <c r="D69" s="293"/>
      <c r="E69" s="293"/>
      <c r="F69" s="293"/>
      <c r="G69" s="279"/>
      <c r="H69" s="293"/>
      <c r="I69" s="279"/>
      <c r="J69" s="293"/>
      <c r="K69" s="279"/>
      <c r="L69" s="293"/>
      <c r="M69" s="108"/>
    </row>
    <row r="70" spans="1:13" ht="12.75" thickBot="1">
      <c r="A70" s="87"/>
      <c r="B70" s="280" t="s">
        <v>325</v>
      </c>
      <c r="C70" s="281"/>
      <c r="D70" s="282"/>
      <c r="E70" s="282"/>
      <c r="F70" s="283">
        <f>F64+F68</f>
        <v>0</v>
      </c>
      <c r="G70" s="284"/>
      <c r="H70" s="283" t="e">
        <f>H64+H68</f>
        <v>#VALUE!</v>
      </c>
      <c r="I70" s="284"/>
      <c r="J70" s="283" t="e">
        <f>J64+J68</f>
        <v>#VALUE!</v>
      </c>
      <c r="K70" s="284"/>
      <c r="L70" s="283" t="e">
        <f>L64+L68</f>
        <v>#REF!</v>
      </c>
      <c r="M70" s="108"/>
    </row>
    <row r="71" spans="1:13">
      <c r="A71" s="87" t="str">
        <f>IF(LOOKUP(M71,PPTO!$J$8:$J$269,PPTO!A$8:A$269)=0," ",LOOKUP(M71,PPTO!$J$8:$J$269,PPTO!A$8:A$269))</f>
        <v xml:space="preserve"> </v>
      </c>
      <c r="B71" s="88" t="str">
        <f>IF(LOOKUP(M71,PPTO!$J$8:J$269,PPTO!B$8:B$269)=0," ",LOOKUP(M71,PPTO!$J$8:J$269,PPTO!B$8:B$269))</f>
        <v xml:space="preserve"> </v>
      </c>
      <c r="C71" s="89" t="str">
        <f>IF(LOOKUP(M71,PPTO!$J$8:$J$269,PPTO!D$8:D$269)=0," ",LOOKUP(M71,PPTO!$J$8:$J$269,PPTO!D$8:D$269))</f>
        <v xml:space="preserve"> </v>
      </c>
      <c r="D71" s="90" t="str">
        <f>IF(LOOKUP(M71,PPTO!$J$8:$J$269,PPTO!E$8:E$269)=0," ",LOOKUP(M71,PPTO!$J$8:$J$269,PPTO!E$8:E$269))</f>
        <v xml:space="preserve"> </v>
      </c>
      <c r="E71" s="90" t="str">
        <f>IF(LOOKUP(M71,PPTO!$J$8:$J$269,PPTO!F$8:F$269)=0," ",LOOKUP(M71,PPTO!$J$8:$J$269,PPTO!F$8:F$269))</f>
        <v xml:space="preserve"> </v>
      </c>
      <c r="F71" s="97" t="str">
        <f>IF(LOOKUP(M71,PPTO!$J$8:$J$269,PPTO!H$8:H$269)=0," ",LOOKUP(M71,PPTO!$J$8:$J$269,PPTO!H$8:H$269))</f>
        <v xml:space="preserve"> </v>
      </c>
      <c r="G71" s="102"/>
      <c r="H71" s="102"/>
      <c r="I71" s="102"/>
      <c r="J71" s="102"/>
      <c r="K71" s="102"/>
      <c r="L71" s="102"/>
      <c r="M71" s="108">
        <v>45</v>
      </c>
    </row>
    <row r="72" spans="1:13">
      <c r="A72" s="92">
        <f>IF(LOOKUP(M72,PPTO!$J$8:$J$269,PPTO!A$8:A$269)=0," ",LOOKUP(M72,PPTO!$J$8:$J$269,PPTO!A$8:A$269))</f>
        <v>7</v>
      </c>
      <c r="B72" s="88" t="str">
        <f>IF(LOOKUP(M72,PPTO!$J$8:J$269,PPTO!B$8:B$269)=0," ",LOOKUP(M72,PPTO!$J$8:J$269,PPTO!B$8:B$269))</f>
        <v>SUMINISTRO DE TUBERIA</v>
      </c>
      <c r="C72" s="145" t="str">
        <f>IF(LOOKUP(M72,PPTO!$J$8:$J$269,PPTO!D$8:D$269)=0," ",LOOKUP(M72,PPTO!$J$8:$J$269,PPTO!D$8:D$269))</f>
        <v xml:space="preserve"> </v>
      </c>
      <c r="D72" s="144" t="str">
        <f>IF(LOOKUP(M72,PPTO!$J$8:$J$269,PPTO!E$8:E$269)=0," ",LOOKUP(M72,PPTO!$J$8:$J$269,PPTO!E$8:E$269))</f>
        <v xml:space="preserve"> </v>
      </c>
      <c r="E72" s="90" t="str">
        <f>IF(LOOKUP(M72,PPTO!$J$8:$J$269,PPTO!F$8:F$269)=0," ",LOOKUP(M72,PPTO!$J$8:$J$269,PPTO!F$8:F$269))</f>
        <v xml:space="preserve"> </v>
      </c>
      <c r="F72" s="90" t="str">
        <f>IF(LOOKUP(M72,PPTO!$J$8:$J$269,PPTO!H$8:H$269)=0," ",LOOKUP(M72,PPTO!$J$8:$J$269,PPTO!H$8:H$269))</f>
        <v xml:space="preserve"> </v>
      </c>
      <c r="G72" s="178"/>
      <c r="H72" s="102"/>
      <c r="I72" s="174"/>
      <c r="J72" s="102"/>
      <c r="K72" s="102"/>
      <c r="L72" s="102"/>
      <c r="M72" s="108">
        <f t="shared" ref="M72:M77" si="4">M71+1</f>
        <v>46</v>
      </c>
    </row>
    <row r="73" spans="1:13" ht="24">
      <c r="A73" s="87" t="str">
        <f>IF(LOOKUP(M73,PPTO!$J$8:$J$269,PPTO!A$8:A$269)=0," ",LOOKUP(M73,PPTO!$J$8:$J$269,PPTO!A$8:A$269))</f>
        <v>7.01</v>
      </c>
      <c r="B73" s="91" t="str">
        <f>IF(LOOKUP(M73,PPTO!$J$8:J$269,PPTO!B$8:B$269)=0," ",LOOKUP(M73,PPTO!$J$8:J$269,PPTO!B$8:B$269))</f>
        <v>SUM DE TUBERIA PVC UNION MECANICA PARA ALCANTARILLADOS 6", 160 MM</v>
      </c>
      <c r="C73" s="145" t="str">
        <f>IF(LOOKUP(M73,PPTO!$J$8:$J$269,PPTO!D$8:D$269)=0," ",LOOKUP(M73,PPTO!$J$8:$J$269,PPTO!D$8:D$269))</f>
        <v>ML</v>
      </c>
      <c r="D73" s="90" t="str">
        <f>IF(LOOKUP(M73,PPTO!$J$8:$J$269,PPTO!E$8:E$269)=0," ",LOOKUP(M73,PPTO!$J$8:$J$269,PPTO!E$8:E$269))</f>
        <v xml:space="preserve"> </v>
      </c>
      <c r="E73" s="90" t="str">
        <f>IF(LOOKUP(M73,PPTO!$J$8:$J$269,PPTO!F$8:F$269)=0," ",LOOKUP(M73,PPTO!$J$8:$J$269,PPTO!F$8:F$269))</f>
        <v xml:space="preserve"> </v>
      </c>
      <c r="F73" s="90" t="str">
        <f>IF(LOOKUP(M73,PPTO!$J$8:$J$269,PPTO!H$8:H$269)=0," ",LOOKUP(M73,PPTO!$J$8:$J$269,PPTO!H$8:H$269))</f>
        <v xml:space="preserve"> </v>
      </c>
      <c r="G73" s="178">
        <v>7554</v>
      </c>
      <c r="H73" s="102" t="e">
        <f t="shared" ref="H73:H77" si="5">ROUND(G73*E73,0)</f>
        <v>#VALUE!</v>
      </c>
      <c r="I73" s="174">
        <v>0</v>
      </c>
      <c r="J73" s="102" t="e">
        <f t="shared" ref="J73:J77" si="6">ROUND(I73*E73,0)</f>
        <v>#VALUE!</v>
      </c>
      <c r="K73" s="102" t="e">
        <f>I73+'ACTA PARCIAL No.7'!K73</f>
        <v>#REF!</v>
      </c>
      <c r="L73" s="102" t="e">
        <f t="shared" ref="L73:L77" si="7">ROUND(K73*E73,0)</f>
        <v>#REF!</v>
      </c>
      <c r="M73" s="108">
        <f t="shared" si="4"/>
        <v>47</v>
      </c>
    </row>
    <row r="74" spans="1:13">
      <c r="A74" s="87" t="str">
        <f>IF(LOOKUP(M74,PPTO!$J$8:$J$269,PPTO!A$8:A$269)=0," ",LOOKUP(M74,PPTO!$J$8:$J$269,PPTO!A$8:A$269))</f>
        <v>7.02</v>
      </c>
      <c r="B74" s="91" t="str">
        <f>IF(LOOKUP(M74,PPTO!$J$8:J$269,PPTO!B$8:B$269)=0," ",LOOKUP(M74,PPTO!$J$8:J$269,PPTO!B$8:B$269))</f>
        <v>SUM TUB PVC 8" ALC</v>
      </c>
      <c r="C74" s="145" t="str">
        <f>IF(LOOKUP(M74,PPTO!$J$8:$J$269,PPTO!D$8:D$269)=0," ",LOOKUP(M74,PPTO!$J$8:$J$269,PPTO!D$8:D$269))</f>
        <v>ML</v>
      </c>
      <c r="D74" s="90" t="str">
        <f>IF(LOOKUP(M74,PPTO!$J$8:$J$269,PPTO!E$8:E$269)=0," ",LOOKUP(M74,PPTO!$J$8:$J$269,PPTO!E$8:E$269))</f>
        <v xml:space="preserve"> </v>
      </c>
      <c r="E74" s="90" t="str">
        <f>IF(LOOKUP(M74,PPTO!$J$8:$J$269,PPTO!F$8:F$269)=0," ",LOOKUP(M74,PPTO!$J$8:$J$269,PPTO!F$8:F$269))</f>
        <v xml:space="preserve"> </v>
      </c>
      <c r="F74" s="90" t="str">
        <f>IF(LOOKUP(M74,PPTO!$J$8:$J$269,PPTO!H$8:H$269)=0," ",LOOKUP(M74,PPTO!$J$8:$J$269,PPTO!H$8:H$269))</f>
        <v xml:space="preserve"> </v>
      </c>
      <c r="G74" s="178">
        <v>10629.07</v>
      </c>
      <c r="H74" s="102" t="e">
        <f t="shared" si="5"/>
        <v>#VALUE!</v>
      </c>
      <c r="I74" s="174">
        <v>0</v>
      </c>
      <c r="J74" s="102" t="e">
        <f t="shared" si="6"/>
        <v>#VALUE!</v>
      </c>
      <c r="K74" s="102" t="e">
        <f>I74+'ACTA PARCIAL No.7'!K74</f>
        <v>#REF!</v>
      </c>
      <c r="L74" s="102" t="e">
        <f t="shared" si="7"/>
        <v>#REF!</v>
      </c>
      <c r="M74" s="108">
        <f t="shared" si="4"/>
        <v>48</v>
      </c>
    </row>
    <row r="75" spans="1:13">
      <c r="A75" s="87" t="str">
        <f>IF(LOOKUP(M75,PPTO!$J$8:$J$269,PPTO!A$8:A$269)=0," ",LOOKUP(M75,PPTO!$J$8:$J$269,PPTO!A$8:A$269))</f>
        <v>7.03</v>
      </c>
      <c r="B75" s="91" t="str">
        <f>IF(LOOKUP(M75,PPTO!$J$8:J$269,PPTO!B$8:B$269)=0," ",LOOKUP(M75,PPTO!$J$8:J$269,PPTO!B$8:B$269))</f>
        <v>SUM TUB PVC 10" ALC</v>
      </c>
      <c r="C75" s="89" t="str">
        <f>IF(LOOKUP(M75,PPTO!$J$8:$J$269,PPTO!D$8:D$269)=0," ",LOOKUP(M75,PPTO!$J$8:$J$269,PPTO!D$8:D$269))</f>
        <v>ML</v>
      </c>
      <c r="D75" s="90" t="str">
        <f>IF(LOOKUP(M75,PPTO!$J$8:$J$269,PPTO!E$8:E$269)=0," ",LOOKUP(M75,PPTO!$J$8:$J$269,PPTO!E$8:E$269))</f>
        <v xml:space="preserve"> </v>
      </c>
      <c r="E75" s="90" t="str">
        <f>IF(LOOKUP(M75,PPTO!$J$8:$J$269,PPTO!F$8:F$269)=0," ",LOOKUP(M75,PPTO!$J$8:$J$269,PPTO!F$8:F$269))</f>
        <v xml:space="preserve"> </v>
      </c>
      <c r="F75" s="90" t="str">
        <f>IF(LOOKUP(M75,PPTO!$J$8:$J$269,PPTO!H$8:H$269)=0," ",LOOKUP(M75,PPTO!$J$8:$J$269,PPTO!H$8:H$269))</f>
        <v xml:space="preserve"> </v>
      </c>
      <c r="G75" s="178">
        <v>119.02</v>
      </c>
      <c r="H75" s="102" t="e">
        <f t="shared" si="5"/>
        <v>#VALUE!</v>
      </c>
      <c r="I75" s="174">
        <v>0</v>
      </c>
      <c r="J75" s="102" t="e">
        <f t="shared" si="6"/>
        <v>#VALUE!</v>
      </c>
      <c r="K75" s="102" t="e">
        <f>I75+'ACTA PARCIAL No.7'!K75</f>
        <v>#REF!</v>
      </c>
      <c r="L75" s="102" t="e">
        <f t="shared" si="7"/>
        <v>#REF!</v>
      </c>
      <c r="M75" s="108">
        <f t="shared" si="4"/>
        <v>49</v>
      </c>
    </row>
    <row r="76" spans="1:13">
      <c r="A76" s="87" t="str">
        <f>IF(LOOKUP(M76,PPTO!$J$8:$J$269,PPTO!A$8:A$269)=0," ",LOOKUP(M76,PPTO!$J$8:$J$269,PPTO!A$8:A$269))</f>
        <v>7.04</v>
      </c>
      <c r="B76" s="91" t="str">
        <f>IF(LOOKUP(M76,PPTO!$J$8:J$269,PPTO!B$8:B$269)=0," ",LOOKUP(M76,PPTO!$J$8:J$269,PPTO!B$8:B$269))</f>
        <v>SUM TUB PVC 12" ALC</v>
      </c>
      <c r="C76" s="89" t="str">
        <f>IF(LOOKUP(M76,PPTO!$J$8:$J$269,PPTO!D$8:D$269)=0," ",LOOKUP(M76,PPTO!$J$8:$J$269,PPTO!D$8:D$269))</f>
        <v>ML</v>
      </c>
      <c r="D76" s="90" t="str">
        <f>IF(LOOKUP(M76,PPTO!$J$8:$J$269,PPTO!E$8:E$269)=0," ",LOOKUP(M76,PPTO!$J$8:$J$269,PPTO!E$8:E$269))</f>
        <v xml:space="preserve"> </v>
      </c>
      <c r="E76" s="90" t="str">
        <f>IF(LOOKUP(M76,PPTO!$J$8:$J$269,PPTO!F$8:F$269)=0," ",LOOKUP(M76,PPTO!$J$8:$J$269,PPTO!F$8:F$269))</f>
        <v xml:space="preserve"> </v>
      </c>
      <c r="F76" s="90" t="str">
        <f>IF(LOOKUP(M76,PPTO!$J$8:$J$269,PPTO!H$8:H$269)=0," ",LOOKUP(M76,PPTO!$J$8:$J$269,PPTO!H$8:H$269))</f>
        <v xml:space="preserve"> </v>
      </c>
      <c r="G76" s="178">
        <v>293.73</v>
      </c>
      <c r="H76" s="102" t="e">
        <f t="shared" si="5"/>
        <v>#VALUE!</v>
      </c>
      <c r="I76" s="174">
        <v>0</v>
      </c>
      <c r="J76" s="102" t="e">
        <f t="shared" si="6"/>
        <v>#VALUE!</v>
      </c>
      <c r="K76" s="102" t="e">
        <f>I76+'ACTA PARCIAL No.7'!K76</f>
        <v>#REF!</v>
      </c>
      <c r="L76" s="102" t="e">
        <f t="shared" si="7"/>
        <v>#REF!</v>
      </c>
      <c r="M76" s="108">
        <f t="shared" si="4"/>
        <v>50</v>
      </c>
    </row>
    <row r="77" spans="1:13">
      <c r="A77" s="87" t="str">
        <f>IF(LOOKUP(M77,PPTO!$J$8:$J$269,PPTO!A$8:A$269)=0," ",LOOKUP(M77,PPTO!$J$8:$J$269,PPTO!A$8:A$269))</f>
        <v>7.05</v>
      </c>
      <c r="B77" s="91" t="str">
        <f>IF(LOOKUP(M77,PPTO!$J$8:J$269,PPTO!B$8:B$269)=0," ",LOOKUP(M77,PPTO!$J$8:J$269,PPTO!B$8:B$269))</f>
        <v>SUMINISTRO TUB PVC NOVAFORT 14 "</v>
      </c>
      <c r="C77" s="89" t="str">
        <f>IF(LOOKUP(M77,PPTO!$J$8:$J$269,PPTO!D$8:D$269)=0," ",LOOKUP(M77,PPTO!$J$8:$J$269,PPTO!D$8:D$269))</f>
        <v>ML</v>
      </c>
      <c r="D77" s="90" t="str">
        <f>IF(LOOKUP(M77,PPTO!$J$8:$J$269,PPTO!E$8:E$269)=0," ",LOOKUP(M77,PPTO!$J$8:$J$269,PPTO!E$8:E$269))</f>
        <v xml:space="preserve"> </v>
      </c>
      <c r="E77" s="90" t="str">
        <f>IF(LOOKUP(M77,PPTO!$J$8:$J$269,PPTO!F$8:F$269)=0," ",LOOKUP(M77,PPTO!$J$8:$J$269,PPTO!F$8:F$269))</f>
        <v xml:space="preserve"> </v>
      </c>
      <c r="F77" s="90" t="str">
        <f>IF(LOOKUP(M77,PPTO!$J$8:$J$269,PPTO!H$8:H$269)=0," ",LOOKUP(M77,PPTO!$J$8:$J$269,PPTO!H$8:H$269))</f>
        <v xml:space="preserve"> </v>
      </c>
      <c r="G77" s="178">
        <v>915</v>
      </c>
      <c r="H77" s="102" t="e">
        <f t="shared" si="5"/>
        <v>#VALUE!</v>
      </c>
      <c r="I77" s="174">
        <v>0</v>
      </c>
      <c r="J77" s="102" t="e">
        <f t="shared" si="6"/>
        <v>#VALUE!</v>
      </c>
      <c r="K77" s="102" t="e">
        <f>I77+'ACTA PARCIAL No.7'!K77</f>
        <v>#REF!</v>
      </c>
      <c r="L77" s="102" t="e">
        <f t="shared" si="7"/>
        <v>#REF!</v>
      </c>
      <c r="M77" s="108">
        <f t="shared" si="4"/>
        <v>51</v>
      </c>
    </row>
    <row r="78" spans="1:13">
      <c r="A78" s="87"/>
      <c r="B78" s="88"/>
      <c r="C78" s="89"/>
      <c r="D78" s="90"/>
      <c r="E78" s="90"/>
      <c r="F78" s="97"/>
      <c r="G78" s="179"/>
      <c r="H78" s="177"/>
      <c r="I78" s="174"/>
      <c r="J78" s="148"/>
      <c r="K78" s="102"/>
      <c r="L78" s="148"/>
      <c r="M78" s="108"/>
    </row>
    <row r="79" spans="1:13">
      <c r="A79" s="87"/>
      <c r="B79" s="275" t="s">
        <v>348</v>
      </c>
      <c r="C79" s="276"/>
      <c r="D79" s="277"/>
      <c r="E79" s="277"/>
      <c r="F79" s="277">
        <v>0</v>
      </c>
      <c r="G79" s="278"/>
      <c r="H79" s="278">
        <v>0</v>
      </c>
      <c r="I79" s="279"/>
      <c r="J79" s="279">
        <v>0</v>
      </c>
      <c r="K79" s="279"/>
      <c r="L79" s="279">
        <v>0</v>
      </c>
      <c r="M79" s="108"/>
    </row>
    <row r="80" spans="1:13" ht="12.75" thickBot="1">
      <c r="A80" s="87"/>
      <c r="B80" s="91"/>
      <c r="C80" s="89"/>
      <c r="D80" s="90"/>
      <c r="E80" s="90"/>
      <c r="F80" s="90"/>
      <c r="G80" s="161"/>
      <c r="H80" s="161"/>
      <c r="I80" s="102"/>
      <c r="J80" s="102"/>
      <c r="K80" s="102"/>
      <c r="L80" s="102"/>
      <c r="M80" s="108"/>
    </row>
    <row r="81" spans="1:13" ht="12.75" thickBot="1">
      <c r="A81" s="92"/>
      <c r="B81" s="280" t="s">
        <v>326</v>
      </c>
      <c r="C81" s="281"/>
      <c r="D81" s="282"/>
      <c r="E81" s="282"/>
      <c r="F81" s="283">
        <f>SUM(F73:F80)</f>
        <v>0</v>
      </c>
      <c r="G81" s="284"/>
      <c r="H81" s="283" t="e">
        <f>SUM(H73:H80)</f>
        <v>#VALUE!</v>
      </c>
      <c r="I81" s="284"/>
      <c r="J81" s="283" t="e">
        <f>SUM(J73:J80)</f>
        <v>#VALUE!</v>
      </c>
      <c r="K81" s="284"/>
      <c r="L81" s="283" t="e">
        <f>SUM(L73:L80)</f>
        <v>#REF!</v>
      </c>
      <c r="M81" s="108"/>
    </row>
    <row r="82" spans="1:13" ht="12.75" thickBot="1">
      <c r="A82" s="87"/>
      <c r="B82" s="285" t="s">
        <v>174</v>
      </c>
      <c r="C82" s="286" t="s">
        <v>296</v>
      </c>
      <c r="D82" s="287">
        <f>DATOS!E192</f>
        <v>18.5</v>
      </c>
      <c r="E82" s="288"/>
      <c r="F82" s="288">
        <f>ROUND(F$81*$D$82/100,0)</f>
        <v>0</v>
      </c>
      <c r="G82" s="289"/>
      <c r="H82" s="288" t="e">
        <f>ROUND(H$81*$D$82/100,0)</f>
        <v>#VALUE!</v>
      </c>
      <c r="I82" s="289"/>
      <c r="J82" s="288" t="e">
        <f>ROUND(J$81*$D$82/100,0)</f>
        <v>#VALUE!</v>
      </c>
      <c r="K82" s="289"/>
      <c r="L82" s="288" t="e">
        <f>ROUND(L$81*$D$82/100,0)</f>
        <v>#REF!</v>
      </c>
      <c r="M82" s="108"/>
    </row>
    <row r="83" spans="1:13" ht="12.75" thickBot="1">
      <c r="A83" s="87"/>
      <c r="B83" s="280" t="s">
        <v>327</v>
      </c>
      <c r="C83" s="281"/>
      <c r="D83" s="282"/>
      <c r="E83" s="282"/>
      <c r="F83" s="283">
        <f>F82</f>
        <v>0</v>
      </c>
      <c r="G83" s="284"/>
      <c r="H83" s="283" t="e">
        <f>H82</f>
        <v>#VALUE!</v>
      </c>
      <c r="I83" s="284"/>
      <c r="J83" s="283" t="e">
        <f>J82</f>
        <v>#VALUE!</v>
      </c>
      <c r="K83" s="284"/>
      <c r="L83" s="283" t="e">
        <f>L82</f>
        <v>#REF!</v>
      </c>
      <c r="M83" s="108"/>
    </row>
    <row r="84" spans="1:13" ht="12.75" thickBot="1">
      <c r="A84" s="87"/>
      <c r="B84" s="1150"/>
      <c r="C84" s="1150"/>
      <c r="D84" s="293"/>
      <c r="E84" s="293"/>
      <c r="F84" s="293"/>
      <c r="G84" s="279"/>
      <c r="H84" s="293"/>
      <c r="I84" s="279"/>
      <c r="J84" s="293"/>
      <c r="K84" s="279"/>
      <c r="L84" s="293"/>
      <c r="M84" s="108"/>
    </row>
    <row r="85" spans="1:13" ht="12.75" thickBot="1">
      <c r="A85" s="87"/>
      <c r="B85" s="280" t="s">
        <v>328</v>
      </c>
      <c r="C85" s="281"/>
      <c r="D85" s="282"/>
      <c r="E85" s="282"/>
      <c r="F85" s="283">
        <f>F81+F83</f>
        <v>0</v>
      </c>
      <c r="G85" s="284"/>
      <c r="H85" s="283" t="e">
        <f>H81+H83</f>
        <v>#VALUE!</v>
      </c>
      <c r="I85" s="284"/>
      <c r="J85" s="283" t="e">
        <f>J81+J83</f>
        <v>#VALUE!</v>
      </c>
      <c r="K85" s="284"/>
      <c r="L85" s="283" t="e">
        <f>L81+L83</f>
        <v>#REF!</v>
      </c>
      <c r="M85" s="108"/>
    </row>
    <row r="86" spans="1:13" ht="25.15" customHeight="1" thickBot="1">
      <c r="A86" s="87"/>
      <c r="B86" s="1151"/>
      <c r="C86" s="1151"/>
      <c r="D86" s="293"/>
      <c r="E86" s="293"/>
      <c r="F86" s="293"/>
      <c r="G86" s="279"/>
      <c r="H86" s="293"/>
      <c r="I86" s="279"/>
      <c r="J86" s="293"/>
      <c r="K86" s="279"/>
      <c r="L86" s="293"/>
      <c r="M86" s="108"/>
    </row>
    <row r="87" spans="1:13" ht="12.75" thickBot="1">
      <c r="A87" s="87"/>
      <c r="B87" s="280" t="s">
        <v>325</v>
      </c>
      <c r="C87" s="281"/>
      <c r="D87" s="282"/>
      <c r="E87" s="282"/>
      <c r="F87" s="283">
        <f>F70</f>
        <v>0</v>
      </c>
      <c r="G87" s="284"/>
      <c r="H87" s="283" t="e">
        <f>H70</f>
        <v>#VALUE!</v>
      </c>
      <c r="I87" s="284"/>
      <c r="J87" s="283" t="e">
        <f>J70</f>
        <v>#VALUE!</v>
      </c>
      <c r="K87" s="284"/>
      <c r="L87" s="283" t="e">
        <f>L70</f>
        <v>#REF!</v>
      </c>
      <c r="M87" s="108"/>
    </row>
    <row r="88" spans="1:13" ht="5.45" customHeight="1" thickBot="1">
      <c r="A88" s="87"/>
      <c r="B88" s="1151"/>
      <c r="C88" s="1151"/>
      <c r="D88" s="293"/>
      <c r="E88" s="293"/>
      <c r="F88" s="293"/>
      <c r="G88" s="279"/>
      <c r="H88" s="293"/>
      <c r="I88" s="279"/>
      <c r="J88" s="293"/>
      <c r="K88" s="279"/>
      <c r="L88" s="293"/>
      <c r="M88" s="108"/>
    </row>
    <row r="89" spans="1:13" ht="12.75" thickBot="1">
      <c r="A89" s="87"/>
      <c r="B89" s="280" t="s">
        <v>328</v>
      </c>
      <c r="C89" s="281"/>
      <c r="D89" s="282"/>
      <c r="E89" s="282"/>
      <c r="F89" s="283">
        <f>F85</f>
        <v>0</v>
      </c>
      <c r="G89" s="284"/>
      <c r="H89" s="283" t="e">
        <f>H85</f>
        <v>#VALUE!</v>
      </c>
      <c r="I89" s="284"/>
      <c r="J89" s="283" t="e">
        <f>J85</f>
        <v>#VALUE!</v>
      </c>
      <c r="K89" s="284"/>
      <c r="L89" s="283" t="e">
        <f>L85</f>
        <v>#REF!</v>
      </c>
      <c r="M89" s="108"/>
    </row>
    <row r="90" spans="1:13" ht="12.75" thickBot="1">
      <c r="A90" s="87"/>
      <c r="B90" s="976"/>
      <c r="C90" s="976"/>
      <c r="D90" s="144"/>
      <c r="E90" s="90"/>
      <c r="F90" s="90"/>
      <c r="G90" s="161"/>
      <c r="H90" s="156"/>
      <c r="I90" s="161"/>
      <c r="J90" s="156"/>
      <c r="K90" s="161"/>
      <c r="L90" s="156"/>
      <c r="M90" s="108"/>
    </row>
    <row r="91" spans="1:13" ht="15" customHeight="1" thickBot="1">
      <c r="A91" s="87"/>
      <c r="B91" s="157" t="s">
        <v>117</v>
      </c>
      <c r="C91" s="158"/>
      <c r="D91" s="159"/>
      <c r="E91" s="159"/>
      <c r="F91" s="160">
        <f>F87+F89</f>
        <v>0</v>
      </c>
      <c r="G91" s="163"/>
      <c r="H91" s="164" t="e">
        <f>H87+H89</f>
        <v>#VALUE!</v>
      </c>
      <c r="I91" s="165"/>
      <c r="J91" s="166" t="e">
        <f>J87+J89</f>
        <v>#VALUE!</v>
      </c>
      <c r="K91" s="167"/>
      <c r="L91" s="168" t="e">
        <f>L87+L89</f>
        <v>#REF!</v>
      </c>
      <c r="M91" s="108"/>
    </row>
    <row r="92" spans="1:13">
      <c r="A92" s="87"/>
      <c r="B92" s="88"/>
      <c r="C92" s="89"/>
      <c r="D92" s="90"/>
      <c r="E92" s="90"/>
      <c r="F92" s="90"/>
      <c r="G92" s="162"/>
      <c r="H92" s="162"/>
      <c r="I92" s="102"/>
      <c r="K92" s="102"/>
      <c r="L92" s="102"/>
      <c r="M92" s="108"/>
    </row>
    <row r="93" spans="1:13">
      <c r="A93" s="87"/>
      <c r="B93" s="88"/>
      <c r="C93" s="89"/>
      <c r="D93" s="90"/>
      <c r="E93" s="90"/>
      <c r="F93" s="90"/>
      <c r="G93" s="102"/>
      <c r="H93" s="102"/>
      <c r="I93" s="102"/>
      <c r="J93" s="102"/>
      <c r="K93" s="102"/>
      <c r="L93" s="102"/>
      <c r="M93" s="108"/>
    </row>
    <row r="94" spans="1:13">
      <c r="A94" s="84"/>
      <c r="B94" s="93"/>
      <c r="C94" s="84"/>
      <c r="D94" s="86"/>
      <c r="E94" s="86"/>
      <c r="F94" s="86"/>
      <c r="G94" s="85"/>
      <c r="H94" s="85"/>
      <c r="I94" s="85"/>
      <c r="J94" s="85"/>
      <c r="K94" s="85"/>
      <c r="L94" s="85"/>
      <c r="M94" s="108"/>
    </row>
    <row r="95" spans="1:13">
      <c r="B95" s="111" t="s">
        <v>251</v>
      </c>
      <c r="C95" s="84"/>
      <c r="D95" s="86"/>
      <c r="E95" s="86"/>
      <c r="F95" s="86"/>
      <c r="G95" s="85"/>
      <c r="H95" s="111" t="s">
        <v>263</v>
      </c>
      <c r="I95" s="85"/>
      <c r="J95" s="85"/>
      <c r="K95" s="85"/>
      <c r="L95" s="85"/>
      <c r="M95" s="108"/>
    </row>
    <row r="96" spans="1:13">
      <c r="A96" s="84"/>
      <c r="B96" s="113" t="s">
        <v>252</v>
      </c>
      <c r="C96" s="121"/>
      <c r="D96" s="123" t="s">
        <v>259</v>
      </c>
      <c r="E96" s="112"/>
      <c r="F96" s="112">
        <f>F7</f>
        <v>0</v>
      </c>
      <c r="G96" s="85"/>
      <c r="H96" s="117" t="s">
        <v>13</v>
      </c>
      <c r="I96" s="118"/>
      <c r="J96" s="120" t="s">
        <v>259</v>
      </c>
      <c r="K96" s="112"/>
      <c r="L96" s="112">
        <f>DATOS!E48</f>
        <v>0</v>
      </c>
      <c r="M96" s="108"/>
    </row>
    <row r="97" spans="1:13">
      <c r="A97" s="84"/>
      <c r="B97" s="113" t="s">
        <v>257</v>
      </c>
      <c r="C97" s="121"/>
      <c r="D97" s="123" t="s">
        <v>259</v>
      </c>
      <c r="E97" s="112"/>
      <c r="F97" s="112">
        <f>F8</f>
        <v>30000000</v>
      </c>
      <c r="G97" s="85"/>
      <c r="H97" s="117" t="s">
        <v>260</v>
      </c>
      <c r="I97" s="118"/>
      <c r="J97" s="120" t="s">
        <v>259</v>
      </c>
      <c r="K97" s="112"/>
      <c r="L97" s="112">
        <v>50000000</v>
      </c>
      <c r="M97" s="108"/>
    </row>
    <row r="98" spans="1:13">
      <c r="A98" s="84"/>
      <c r="B98" s="113" t="s">
        <v>258</v>
      </c>
      <c r="C98" s="121"/>
      <c r="D98" s="123" t="s">
        <v>259</v>
      </c>
      <c r="E98" s="112"/>
      <c r="F98" s="112">
        <f>F9</f>
        <v>0</v>
      </c>
      <c r="G98" s="85"/>
      <c r="H98" s="117" t="s">
        <v>261</v>
      </c>
      <c r="I98" s="118"/>
      <c r="J98" s="120" t="s">
        <v>259</v>
      </c>
      <c r="K98" s="112"/>
      <c r="L98" s="112">
        <v>0</v>
      </c>
      <c r="M98" s="108"/>
    </row>
    <row r="99" spans="1:13">
      <c r="A99" s="84"/>
      <c r="B99" s="113" t="s">
        <v>253</v>
      </c>
      <c r="C99" s="121"/>
      <c r="D99" s="123" t="s">
        <v>259</v>
      </c>
      <c r="E99" s="112" t="e">
        <f>'ACTA PARCIAL No.1'!E99</f>
        <v>#VALUE!</v>
      </c>
      <c r="F99" s="112"/>
      <c r="G99" s="85"/>
      <c r="H99" s="117" t="s">
        <v>262</v>
      </c>
      <c r="I99" s="118"/>
      <c r="J99" s="120" t="s">
        <v>259</v>
      </c>
      <c r="K99" s="112" t="e">
        <f>ROUND(E99*DATOS!$I$48,0)</f>
        <v>#VALUE!</v>
      </c>
      <c r="L99" s="112"/>
      <c r="M99" s="108"/>
    </row>
    <row r="100" spans="1:13">
      <c r="A100" s="84"/>
      <c r="B100" s="113" t="s">
        <v>272</v>
      </c>
      <c r="C100" s="121"/>
      <c r="D100" s="123" t="s">
        <v>259</v>
      </c>
      <c r="E100" s="112" t="e">
        <f>#REF!</f>
        <v>#REF!</v>
      </c>
      <c r="F100" s="112"/>
      <c r="G100" s="85"/>
      <c r="H100" s="117" t="s">
        <v>273</v>
      </c>
      <c r="I100" s="118"/>
      <c r="J100" s="120" t="s">
        <v>259</v>
      </c>
      <c r="K100" s="112" t="e">
        <f>ROUND(E100*DATOS!$I$48,0)</f>
        <v>#REF!</v>
      </c>
      <c r="L100" s="112"/>
      <c r="M100" s="108"/>
    </row>
    <row r="101" spans="1:13">
      <c r="A101" s="84"/>
      <c r="B101" s="113" t="s">
        <v>297</v>
      </c>
      <c r="C101" s="121"/>
      <c r="D101" s="123" t="s">
        <v>259</v>
      </c>
      <c r="E101" s="112" t="e">
        <f>#REF!</f>
        <v>#REF!</v>
      </c>
      <c r="F101" s="112"/>
      <c r="G101" s="85"/>
      <c r="H101" s="117" t="s">
        <v>304</v>
      </c>
      <c r="I101" s="118"/>
      <c r="J101" s="120" t="s">
        <v>259</v>
      </c>
      <c r="K101" s="112" t="e">
        <f>ROUND(E101*DATOS!$I$48,0)</f>
        <v>#REF!</v>
      </c>
      <c r="L101" s="112"/>
      <c r="M101" s="108"/>
    </row>
    <row r="102" spans="1:13">
      <c r="A102" s="84"/>
      <c r="B102" s="113" t="s">
        <v>298</v>
      </c>
      <c r="C102" s="121"/>
      <c r="D102" s="123" t="s">
        <v>259</v>
      </c>
      <c r="E102" s="112" t="e">
        <f>'ACTA PARCIAL No.4'!E102</f>
        <v>#VALUE!</v>
      </c>
      <c r="F102" s="112"/>
      <c r="G102" s="85"/>
      <c r="H102" s="117" t="s">
        <v>305</v>
      </c>
      <c r="I102" s="118"/>
      <c r="J102" s="120" t="s">
        <v>259</v>
      </c>
      <c r="K102" s="112" t="e">
        <f>ROUND(E102*DATOS!$I$48,0)</f>
        <v>#VALUE!</v>
      </c>
      <c r="L102" s="112"/>
      <c r="M102" s="108"/>
    </row>
    <row r="103" spans="1:13">
      <c r="A103" s="84"/>
      <c r="B103" s="113" t="s">
        <v>299</v>
      </c>
      <c r="C103" s="121"/>
      <c r="D103" s="123" t="s">
        <v>259</v>
      </c>
      <c r="E103" s="112" t="e">
        <f>'ACTA PARCIAL No.5'!E103</f>
        <v>#VALUE!</v>
      </c>
      <c r="F103" s="112"/>
      <c r="G103" s="85"/>
      <c r="H103" s="117" t="s">
        <v>306</v>
      </c>
      <c r="I103" s="118"/>
      <c r="J103" s="120" t="s">
        <v>259</v>
      </c>
      <c r="K103" s="112" t="e">
        <f>ROUND(E103*DATOS!$I$48,0)</f>
        <v>#VALUE!</v>
      </c>
      <c r="L103" s="112"/>
      <c r="M103" s="108"/>
    </row>
    <row r="104" spans="1:13">
      <c r="A104" s="84"/>
      <c r="B104" s="113" t="s">
        <v>300</v>
      </c>
      <c r="C104" s="121"/>
      <c r="D104" s="123" t="s">
        <v>259</v>
      </c>
      <c r="E104" s="112" t="e">
        <f>'ACTA PARCIAL No.6'!E104</f>
        <v>#VALUE!</v>
      </c>
      <c r="F104" s="112"/>
      <c r="G104" s="85"/>
      <c r="H104" s="117" t="s">
        <v>307</v>
      </c>
      <c r="I104" s="118"/>
      <c r="J104" s="120" t="s">
        <v>259</v>
      </c>
      <c r="K104" s="112" t="e">
        <f>ROUND(E104*DATOS!$I$48,0)</f>
        <v>#VALUE!</v>
      </c>
      <c r="L104" s="112"/>
      <c r="M104" s="108"/>
    </row>
    <row r="105" spans="1:13">
      <c r="A105" s="84"/>
      <c r="B105" s="113" t="s">
        <v>301</v>
      </c>
      <c r="C105" s="121"/>
      <c r="D105" s="123" t="s">
        <v>259</v>
      </c>
      <c r="E105" s="112" t="e">
        <f>'ACTA PARCIAL No.7'!E105</f>
        <v>#VALUE!</v>
      </c>
      <c r="F105" s="112"/>
      <c r="G105" s="85"/>
      <c r="H105" s="117" t="s">
        <v>308</v>
      </c>
      <c r="I105" s="118"/>
      <c r="J105" s="120" t="s">
        <v>259</v>
      </c>
      <c r="K105" s="112" t="e">
        <f>ROUND(E105*DATOS!$I$48,0)</f>
        <v>#VALUE!</v>
      </c>
      <c r="L105" s="112"/>
      <c r="M105" s="108"/>
    </row>
    <row r="106" spans="1:13">
      <c r="A106" s="84"/>
      <c r="B106" s="113" t="s">
        <v>302</v>
      </c>
      <c r="C106" s="121"/>
      <c r="D106" s="123" t="s">
        <v>259</v>
      </c>
      <c r="E106" s="112" t="e">
        <f>J91</f>
        <v>#VALUE!</v>
      </c>
      <c r="F106" s="112"/>
      <c r="G106" s="85"/>
      <c r="H106" s="117" t="s">
        <v>309</v>
      </c>
      <c r="I106" s="118"/>
      <c r="J106" s="120" t="s">
        <v>259</v>
      </c>
      <c r="K106" s="112" t="e">
        <f>ROUND(E106*DATOS!$I$48,0)</f>
        <v>#VALUE!</v>
      </c>
      <c r="L106" s="112"/>
      <c r="M106" s="108"/>
    </row>
    <row r="107" spans="1:13">
      <c r="A107" s="84"/>
      <c r="B107" s="113" t="s">
        <v>254</v>
      </c>
      <c r="C107" s="121"/>
      <c r="D107" s="123" t="s">
        <v>259</v>
      </c>
      <c r="E107" s="112" t="e">
        <f>F96+F97+F98-E99-E100-E101-E102-E103-E104-E105-E106</f>
        <v>#VALUE!</v>
      </c>
      <c r="F107" s="112"/>
      <c r="G107" s="85"/>
      <c r="H107" s="117" t="s">
        <v>250</v>
      </c>
      <c r="I107" s="118"/>
      <c r="J107" s="120" t="s">
        <v>259</v>
      </c>
      <c r="K107" s="112" t="e">
        <f>L96+L97+L98-K99-K100-K101-K102-K103-K104-K105-K106</f>
        <v>#VALUE!</v>
      </c>
      <c r="L107" s="112"/>
      <c r="M107" s="108"/>
    </row>
    <row r="108" spans="1:13">
      <c r="A108" s="84"/>
      <c r="B108" s="114" t="s">
        <v>255</v>
      </c>
      <c r="C108" s="121"/>
      <c r="D108" s="123" t="s">
        <v>259</v>
      </c>
      <c r="E108" s="112" t="e">
        <f>SUM(E96:E107)</f>
        <v>#VALUE!</v>
      </c>
      <c r="F108" s="112">
        <f>SUM(F96:F107)</f>
        <v>30000000</v>
      </c>
      <c r="G108" s="85"/>
      <c r="H108" s="119" t="s">
        <v>255</v>
      </c>
      <c r="I108" s="118"/>
      <c r="J108" s="120" t="s">
        <v>259</v>
      </c>
      <c r="K108" s="112" t="e">
        <f>SUM(K96:K107)</f>
        <v>#VALUE!</v>
      </c>
      <c r="L108" s="112">
        <f>SUM(L96:L107)</f>
        <v>50000000</v>
      </c>
      <c r="M108" s="108"/>
    </row>
    <row r="109" spans="1:13">
      <c r="A109" s="84"/>
      <c r="B109" s="93"/>
      <c r="C109" s="84"/>
      <c r="D109" s="86"/>
      <c r="E109" s="86"/>
      <c r="F109" s="86"/>
      <c r="G109" s="85"/>
      <c r="I109" s="85"/>
      <c r="J109" s="85"/>
      <c r="K109" s="85"/>
      <c r="L109" s="85"/>
      <c r="M109" s="108"/>
    </row>
    <row r="110" spans="1:13">
      <c r="A110" s="84"/>
      <c r="B110" s="113" t="s">
        <v>311</v>
      </c>
      <c r="C110" s="121"/>
      <c r="D110" s="122"/>
      <c r="E110" s="123" t="s">
        <v>259</v>
      </c>
      <c r="F110" s="112">
        <f>F96+F97+F98</f>
        <v>30000000</v>
      </c>
      <c r="G110" s="85"/>
      <c r="H110" s="117" t="s">
        <v>265</v>
      </c>
      <c r="I110" s="118"/>
      <c r="J110" s="126"/>
      <c r="K110" s="120" t="s">
        <v>259</v>
      </c>
      <c r="L110" s="112" t="e">
        <f>E106</f>
        <v>#VALUE!</v>
      </c>
      <c r="M110" s="108"/>
    </row>
    <row r="111" spans="1:13">
      <c r="A111" s="84"/>
      <c r="B111" s="113" t="s">
        <v>264</v>
      </c>
      <c r="C111" s="121"/>
      <c r="D111" s="122"/>
      <c r="E111" s="123" t="s">
        <v>259</v>
      </c>
      <c r="F111" s="112" t="e">
        <f>E99+E100+E101+E102+E103+E104+E105+E106</f>
        <v>#VALUE!</v>
      </c>
      <c r="G111" s="85"/>
      <c r="H111" s="117" t="s">
        <v>266</v>
      </c>
      <c r="I111" s="118"/>
      <c r="J111" s="126"/>
      <c r="K111" s="120" t="s">
        <v>259</v>
      </c>
      <c r="L111" s="112" t="e">
        <f>K106</f>
        <v>#VALUE!</v>
      </c>
      <c r="M111" s="108"/>
    </row>
    <row r="112" spans="1:13">
      <c r="A112" s="84"/>
      <c r="B112" s="113" t="s">
        <v>274</v>
      </c>
      <c r="C112" s="121"/>
      <c r="D112" s="122"/>
      <c r="E112" s="123" t="s">
        <v>259</v>
      </c>
      <c r="F112" s="112" t="e">
        <f>K107</f>
        <v>#VALUE!</v>
      </c>
      <c r="G112" s="85"/>
      <c r="H112" s="85"/>
      <c r="I112" s="85"/>
      <c r="J112" s="125"/>
      <c r="K112" s="126"/>
      <c r="L112" s="122"/>
      <c r="M112" s="108"/>
    </row>
    <row r="113" spans="1:13">
      <c r="A113" s="84"/>
      <c r="B113" s="113" t="s">
        <v>254</v>
      </c>
      <c r="C113" s="121"/>
      <c r="D113" s="122"/>
      <c r="E113" s="123" t="s">
        <v>259</v>
      </c>
      <c r="F113" s="112" t="e">
        <f>E107</f>
        <v>#VALUE!</v>
      </c>
      <c r="G113" s="85"/>
      <c r="H113" s="119" t="s">
        <v>267</v>
      </c>
      <c r="I113" s="118"/>
      <c r="J113" s="126"/>
      <c r="K113" s="120" t="s">
        <v>259</v>
      </c>
      <c r="L113" s="116" t="e">
        <f>L110-L111</f>
        <v>#VALUE!</v>
      </c>
      <c r="M113" s="108"/>
    </row>
    <row r="114" spans="1:13">
      <c r="A114" s="84"/>
      <c r="B114" s="114" t="s">
        <v>256</v>
      </c>
      <c r="C114" s="121"/>
      <c r="D114" s="122"/>
      <c r="E114" s="123"/>
      <c r="F114" s="124" t="e">
        <f>F111/F110</f>
        <v>#VALUE!</v>
      </c>
      <c r="G114" s="85"/>
      <c r="H114" s="85"/>
      <c r="I114" s="85"/>
      <c r="J114" s="85"/>
      <c r="K114" s="85"/>
      <c r="L114" s="85"/>
      <c r="M114" s="108"/>
    </row>
    <row r="115" spans="1:13">
      <c r="A115" s="84"/>
      <c r="B115" s="93"/>
      <c r="C115" s="84"/>
      <c r="D115" s="86"/>
      <c r="E115" s="86"/>
      <c r="F115" s="86"/>
      <c r="G115" s="85"/>
      <c r="H115" s="85"/>
      <c r="I115" s="85"/>
      <c r="J115" s="85"/>
      <c r="K115" s="85"/>
      <c r="L115" s="85"/>
      <c r="M115" s="108"/>
    </row>
    <row r="116" spans="1:13" ht="12.75" thickBot="1">
      <c r="A116" s="84"/>
      <c r="B116" s="93"/>
      <c r="C116" s="84"/>
      <c r="D116" s="86"/>
      <c r="E116" s="86"/>
      <c r="F116" s="86"/>
      <c r="G116" s="85"/>
      <c r="H116" s="85"/>
      <c r="I116" s="85"/>
      <c r="J116" s="85"/>
      <c r="K116" s="85"/>
      <c r="L116" s="85"/>
      <c r="M116" s="108"/>
    </row>
    <row r="117" spans="1:13" ht="15" customHeight="1" thickBot="1">
      <c r="A117" s="84"/>
      <c r="B117" s="93" t="s">
        <v>268</v>
      </c>
      <c r="C117" s="1144"/>
      <c r="D117" s="1145"/>
      <c r="E117" s="1145"/>
      <c r="F117" s="1145"/>
      <c r="G117" s="1145"/>
      <c r="H117" s="1145"/>
      <c r="I117" s="1145"/>
      <c r="J117" s="1145"/>
      <c r="K117" s="1145"/>
      <c r="L117" s="1146"/>
      <c r="M117" s="108"/>
    </row>
    <row r="118" spans="1:13">
      <c r="A118" s="84"/>
      <c r="B118" s="93"/>
      <c r="C118" s="84"/>
      <c r="D118" s="86"/>
      <c r="E118" s="86"/>
      <c r="F118" s="86"/>
      <c r="G118" s="85"/>
      <c r="H118" s="85"/>
      <c r="I118" s="85"/>
      <c r="J118" s="85"/>
      <c r="K118" s="85"/>
      <c r="L118" s="85"/>
      <c r="M118" s="108"/>
    </row>
    <row r="119" spans="1:13">
      <c r="A119" s="84"/>
      <c r="B119" s="93"/>
      <c r="C119" s="84"/>
      <c r="D119" s="86"/>
      <c r="E119" s="86"/>
      <c r="F119" s="86"/>
      <c r="G119" s="85"/>
      <c r="H119" s="85"/>
      <c r="I119" s="85"/>
      <c r="J119" s="85"/>
      <c r="K119" s="85"/>
      <c r="L119" s="85"/>
      <c r="M119" s="108"/>
    </row>
    <row r="120" spans="1:13" ht="26.45" customHeight="1">
      <c r="A120" s="84"/>
      <c r="B120" s="1066" t="s">
        <v>269</v>
      </c>
      <c r="C120" s="1066"/>
      <c r="D120" s="1066"/>
      <c r="E120" s="1066"/>
      <c r="F120" s="1066"/>
      <c r="G120" s="1066"/>
      <c r="H120" s="1066"/>
      <c r="I120" s="1066"/>
      <c r="J120" s="1066"/>
      <c r="K120" s="1066"/>
      <c r="L120" s="1066"/>
      <c r="M120" s="108"/>
    </row>
    <row r="121" spans="1:13">
      <c r="A121" s="84"/>
      <c r="B121" s="94"/>
      <c r="C121" s="84"/>
      <c r="D121" s="86"/>
      <c r="E121" s="86"/>
      <c r="F121" s="86"/>
      <c r="G121" s="85"/>
      <c r="H121" s="85"/>
      <c r="I121" s="85"/>
      <c r="J121" s="85"/>
      <c r="K121" s="85"/>
      <c r="L121" s="85"/>
      <c r="M121" s="108"/>
    </row>
    <row r="122" spans="1:13">
      <c r="A122" s="84"/>
      <c r="B122" s="94"/>
      <c r="C122" s="84"/>
      <c r="D122" s="86"/>
      <c r="E122" s="86"/>
      <c r="F122" s="86"/>
      <c r="G122" s="85"/>
      <c r="H122" s="85"/>
      <c r="I122" s="85"/>
      <c r="J122" s="85"/>
      <c r="K122" s="85"/>
      <c r="L122" s="85"/>
      <c r="M122" s="108"/>
    </row>
    <row r="123" spans="1:13">
      <c r="A123" s="84"/>
      <c r="B123" s="94"/>
      <c r="C123" s="84"/>
      <c r="D123" s="86"/>
      <c r="E123" s="86"/>
      <c r="F123" s="86"/>
      <c r="G123" s="85"/>
      <c r="H123" s="85"/>
      <c r="I123" s="85"/>
      <c r="J123" s="85"/>
      <c r="K123" s="85"/>
      <c r="L123" s="85"/>
      <c r="M123" s="108"/>
    </row>
    <row r="124" spans="1:13">
      <c r="A124" s="84"/>
      <c r="B124" s="94"/>
      <c r="C124" s="84"/>
      <c r="D124" s="86"/>
      <c r="E124" s="86"/>
      <c r="F124" s="86"/>
      <c r="G124" s="85"/>
      <c r="H124" s="85"/>
      <c r="I124" s="85"/>
      <c r="J124" s="85"/>
      <c r="K124" s="85"/>
      <c r="L124" s="85"/>
      <c r="M124" s="108"/>
    </row>
    <row r="125" spans="1:13">
      <c r="A125" s="84"/>
      <c r="B125" s="94"/>
      <c r="C125" s="84"/>
      <c r="D125" s="86"/>
      <c r="E125" s="86"/>
      <c r="F125" s="86"/>
      <c r="G125" s="85"/>
      <c r="H125" s="85"/>
      <c r="I125" s="85"/>
      <c r="J125" s="85"/>
      <c r="K125" s="85"/>
      <c r="L125" s="85"/>
      <c r="M125" s="108"/>
    </row>
    <row r="126" spans="1:13">
      <c r="A126" s="84"/>
      <c r="B126" s="85" t="s">
        <v>271</v>
      </c>
      <c r="C126" s="84"/>
      <c r="D126" s="86"/>
      <c r="E126" s="85" t="s">
        <v>271</v>
      </c>
      <c r="F126" s="86"/>
      <c r="G126" s="85"/>
      <c r="H126" s="85"/>
      <c r="I126" s="85"/>
      <c r="J126" s="85" t="s">
        <v>271</v>
      </c>
      <c r="K126" s="85"/>
      <c r="L126" s="85"/>
      <c r="M126" s="108"/>
    </row>
    <row r="127" spans="1:13">
      <c r="A127" s="84"/>
      <c r="B127" s="115">
        <f>IF(DATOS!E16="Persona Jurídica",DATOS!G20,DATOS!G16)</f>
        <v>0</v>
      </c>
      <c r="C127" s="84"/>
      <c r="D127" s="86"/>
      <c r="E127" s="128">
        <f>IF(DATOS!E10="CONTRATO DE OBRA",IF(DATOS!E24="Persona Jurídica",DATOS!G28,DATOS!G24),DATOS!G30)</f>
        <v>0</v>
      </c>
      <c r="F127" s="86"/>
      <c r="G127" s="85"/>
      <c r="H127" s="85"/>
      <c r="I127" s="85"/>
      <c r="J127" s="115">
        <f>DATOS!E42</f>
        <v>0</v>
      </c>
      <c r="K127" s="85"/>
      <c r="L127" s="85"/>
      <c r="M127" s="108"/>
    </row>
    <row r="128" spans="1:13">
      <c r="A128" s="84"/>
      <c r="B128" s="85" t="str">
        <f>IF(DATOS!E16="Persona Jurídica",DATOS!G16,"CONTRATISTA")</f>
        <v>CONTRATISTA</v>
      </c>
      <c r="C128" s="84"/>
      <c r="D128" s="86"/>
      <c r="E128" s="127" t="str">
        <f>IF(DATOS!E24="Persona Jurídica",DATOS!G24,"INTERVENTOR")</f>
        <v>INTERVENTOR</v>
      </c>
      <c r="F128" s="86"/>
      <c r="G128" s="85"/>
      <c r="H128" s="85"/>
      <c r="I128" s="85"/>
      <c r="J128" s="85" t="s">
        <v>330</v>
      </c>
      <c r="K128" s="85"/>
      <c r="L128" s="85"/>
      <c r="M128" s="108"/>
    </row>
    <row r="129" spans="1:13">
      <c r="A129" s="84"/>
      <c r="B129" s="85" t="str">
        <f>IF(DATOS!E16="Persona jurídica","CONTRATISTA"," ")</f>
        <v xml:space="preserve"> </v>
      </c>
      <c r="C129" s="84"/>
      <c r="D129" s="86"/>
      <c r="E129" s="127" t="str">
        <f>IF(DATOS!E24="Persona jurídica","INTERVENTOR"," ")</f>
        <v xml:space="preserve"> </v>
      </c>
      <c r="F129" s="86"/>
      <c r="G129" s="85"/>
      <c r="H129" s="85"/>
      <c r="I129" s="85"/>
      <c r="J129" s="85" t="s">
        <v>270</v>
      </c>
      <c r="K129" s="85"/>
      <c r="L129" s="85"/>
      <c r="M129" s="108"/>
    </row>
    <row r="130" spans="1:13">
      <c r="A130" s="84"/>
      <c r="B130" s="85"/>
      <c r="C130" s="84"/>
      <c r="D130" s="86"/>
      <c r="E130" s="86"/>
      <c r="F130" s="86"/>
      <c r="G130" s="85"/>
      <c r="H130" s="85"/>
      <c r="I130" s="85"/>
      <c r="J130" s="85"/>
      <c r="K130" s="85"/>
      <c r="L130" s="85"/>
      <c r="M130" s="108"/>
    </row>
    <row r="131" spans="1:13">
      <c r="A131" s="84"/>
      <c r="B131" s="85"/>
      <c r="C131" s="84"/>
      <c r="D131" s="86"/>
      <c r="E131" s="86"/>
      <c r="F131" s="86"/>
      <c r="G131" s="85"/>
      <c r="H131" s="85"/>
      <c r="I131" s="85"/>
      <c r="J131" s="85"/>
      <c r="K131" s="85"/>
      <c r="L131" s="85"/>
      <c r="M131" s="108"/>
    </row>
    <row r="132" spans="1:13">
      <c r="A132" s="84"/>
      <c r="B132" s="85"/>
      <c r="C132" s="84"/>
      <c r="D132" s="86"/>
      <c r="E132" s="86"/>
      <c r="F132" s="86"/>
      <c r="G132" s="85"/>
      <c r="H132" s="85"/>
      <c r="I132" s="85"/>
      <c r="J132" s="85"/>
      <c r="K132" s="85"/>
      <c r="L132" s="85"/>
      <c r="M132" s="108"/>
    </row>
    <row r="133" spans="1:13">
      <c r="A133" s="84"/>
      <c r="B133" s="85"/>
      <c r="C133" s="84"/>
      <c r="D133" s="86"/>
      <c r="E133" s="86"/>
      <c r="F133" s="86"/>
      <c r="G133" s="85"/>
      <c r="H133" s="85"/>
      <c r="I133" s="85"/>
      <c r="J133" s="85"/>
      <c r="K133" s="85"/>
      <c r="L133" s="85"/>
      <c r="M133" s="108"/>
    </row>
    <row r="134" spans="1:13">
      <c r="A134" s="84"/>
      <c r="B134" s="85"/>
      <c r="C134" s="84"/>
      <c r="D134" s="86"/>
      <c r="E134" s="86"/>
      <c r="F134" s="86"/>
      <c r="G134" s="85"/>
      <c r="H134" s="85"/>
      <c r="I134" s="85"/>
      <c r="J134" s="85"/>
      <c r="K134" s="85"/>
      <c r="L134" s="85"/>
      <c r="M134" s="108"/>
    </row>
    <row r="135" spans="1:13">
      <c r="A135" s="84"/>
      <c r="B135" s="85"/>
      <c r="C135" s="84"/>
      <c r="D135" s="86"/>
      <c r="E135" s="86"/>
      <c r="F135" s="86"/>
      <c r="G135" s="85"/>
      <c r="H135" s="85"/>
      <c r="I135" s="85"/>
      <c r="J135" s="85"/>
      <c r="K135" s="85"/>
      <c r="L135" s="85"/>
      <c r="M135" s="108"/>
    </row>
    <row r="136" spans="1:13">
      <c r="A136" s="84"/>
      <c r="B136" s="85"/>
      <c r="C136" s="84"/>
      <c r="D136" s="86"/>
      <c r="E136" s="86"/>
      <c r="F136" s="86"/>
      <c r="G136" s="85"/>
      <c r="H136" s="85"/>
      <c r="I136" s="85"/>
      <c r="J136" s="85"/>
      <c r="K136" s="85"/>
      <c r="L136" s="85"/>
      <c r="M136" s="108"/>
    </row>
    <row r="137" spans="1:13">
      <c r="A137" s="84"/>
      <c r="B137" s="85"/>
      <c r="C137" s="84"/>
      <c r="D137" s="86"/>
      <c r="E137" s="86"/>
      <c r="F137" s="86"/>
      <c r="G137" s="85"/>
      <c r="H137" s="85"/>
      <c r="I137" s="85"/>
      <c r="J137" s="85"/>
      <c r="K137" s="85"/>
      <c r="L137" s="85"/>
      <c r="M137" s="108"/>
    </row>
    <row r="138" spans="1:13">
      <c r="A138" s="84"/>
      <c r="B138" s="85"/>
      <c r="C138" s="84"/>
      <c r="D138" s="86"/>
      <c r="E138" s="86"/>
      <c r="F138" s="86"/>
      <c r="G138" s="85"/>
      <c r="H138" s="85"/>
      <c r="I138" s="85"/>
      <c r="J138" s="85"/>
      <c r="K138" s="85"/>
      <c r="L138" s="85"/>
      <c r="M138" s="108"/>
    </row>
    <row r="139" spans="1:13">
      <c r="A139" s="84"/>
      <c r="B139" s="85"/>
      <c r="C139" s="84"/>
      <c r="D139" s="86"/>
      <c r="E139" s="86"/>
      <c r="F139" s="86"/>
      <c r="G139" s="85"/>
      <c r="H139" s="85"/>
      <c r="I139" s="85"/>
      <c r="J139" s="85"/>
      <c r="K139" s="85"/>
      <c r="L139" s="85"/>
      <c r="M139" s="108"/>
    </row>
    <row r="140" spans="1:13">
      <c r="A140" s="84"/>
      <c r="B140" s="85"/>
      <c r="C140" s="84"/>
      <c r="D140" s="86"/>
      <c r="E140" s="86"/>
      <c r="F140" s="86"/>
      <c r="G140" s="85"/>
      <c r="H140" s="85"/>
      <c r="I140" s="85"/>
      <c r="J140" s="85"/>
      <c r="K140" s="85"/>
      <c r="L140" s="85"/>
      <c r="M140" s="108"/>
    </row>
    <row r="141" spans="1:13">
      <c r="A141" s="84"/>
      <c r="B141" s="85"/>
      <c r="C141" s="84"/>
      <c r="D141" s="86"/>
      <c r="E141" s="86"/>
      <c r="F141" s="86"/>
      <c r="G141" s="85"/>
      <c r="H141" s="85"/>
      <c r="I141" s="85"/>
      <c r="J141" s="85"/>
      <c r="K141" s="85"/>
      <c r="L141" s="85"/>
      <c r="M141" s="108"/>
    </row>
    <row r="142" spans="1:13">
      <c r="A142" s="84"/>
      <c r="B142" s="85"/>
      <c r="C142" s="84"/>
      <c r="D142" s="86"/>
      <c r="E142" s="86"/>
      <c r="F142" s="86"/>
      <c r="G142" s="85"/>
      <c r="H142" s="85"/>
      <c r="I142" s="85"/>
      <c r="J142" s="85"/>
      <c r="K142" s="85"/>
      <c r="L142" s="85"/>
      <c r="M142" s="108"/>
    </row>
    <row r="143" spans="1:13">
      <c r="A143" s="84"/>
      <c r="B143" s="85"/>
      <c r="C143" s="84"/>
      <c r="D143" s="86"/>
      <c r="E143" s="86"/>
      <c r="F143" s="86"/>
      <c r="G143" s="85"/>
      <c r="H143" s="85"/>
      <c r="I143" s="85"/>
      <c r="J143" s="85"/>
      <c r="K143" s="85"/>
      <c r="L143" s="85"/>
      <c r="M143" s="108"/>
    </row>
    <row r="144" spans="1:13">
      <c r="A144" s="84"/>
      <c r="B144" s="85"/>
      <c r="C144" s="84"/>
      <c r="D144" s="86"/>
      <c r="E144" s="86"/>
      <c r="F144" s="86"/>
      <c r="G144" s="85"/>
      <c r="H144" s="85"/>
      <c r="I144" s="85"/>
      <c r="J144" s="85"/>
      <c r="K144" s="85"/>
      <c r="L144" s="85"/>
      <c r="M144" s="108"/>
    </row>
    <row r="145" spans="1:13">
      <c r="A145" s="84"/>
      <c r="B145" s="85"/>
      <c r="C145" s="84"/>
      <c r="D145" s="86"/>
      <c r="E145" s="86"/>
      <c r="F145" s="86"/>
      <c r="G145" s="85"/>
      <c r="H145" s="85"/>
      <c r="I145" s="85"/>
      <c r="J145" s="85"/>
      <c r="K145" s="85"/>
      <c r="L145" s="85"/>
      <c r="M145" s="108"/>
    </row>
    <row r="146" spans="1:13">
      <c r="A146" s="84"/>
      <c r="B146" s="85"/>
      <c r="C146" s="84"/>
      <c r="D146" s="86"/>
      <c r="E146" s="86"/>
      <c r="F146" s="86"/>
      <c r="G146" s="85"/>
      <c r="H146" s="85"/>
      <c r="I146" s="85"/>
      <c r="J146" s="85"/>
      <c r="K146" s="85"/>
      <c r="L146" s="85"/>
      <c r="M146" s="108"/>
    </row>
    <row r="147" spans="1:13">
      <c r="A147" s="84"/>
      <c r="B147" s="85"/>
      <c r="C147" s="84"/>
      <c r="D147" s="86"/>
      <c r="E147" s="86"/>
      <c r="F147" s="86"/>
      <c r="G147" s="85"/>
      <c r="H147" s="85"/>
      <c r="I147" s="85"/>
      <c r="J147" s="85"/>
      <c r="K147" s="85"/>
      <c r="L147" s="85"/>
      <c r="M147" s="108"/>
    </row>
    <row r="148" spans="1:13">
      <c r="A148" s="84"/>
      <c r="B148" s="85"/>
      <c r="C148" s="84"/>
      <c r="D148" s="86"/>
      <c r="E148" s="86"/>
      <c r="F148" s="86"/>
      <c r="G148" s="85"/>
      <c r="H148" s="85"/>
      <c r="I148" s="85"/>
      <c r="J148" s="85"/>
      <c r="K148" s="85"/>
      <c r="L148" s="85"/>
      <c r="M148" s="108"/>
    </row>
    <row r="149" spans="1:13">
      <c r="A149" s="84"/>
      <c r="B149" s="85"/>
      <c r="C149" s="84"/>
      <c r="D149" s="86"/>
      <c r="E149" s="86"/>
      <c r="F149" s="86"/>
      <c r="G149" s="85"/>
      <c r="H149" s="85"/>
      <c r="I149" s="85"/>
      <c r="J149" s="85"/>
      <c r="K149" s="85"/>
      <c r="L149" s="85"/>
      <c r="M149" s="108"/>
    </row>
    <row r="150" spans="1:13">
      <c r="A150" s="84"/>
      <c r="B150" s="85"/>
      <c r="C150" s="84"/>
      <c r="D150" s="86"/>
      <c r="E150" s="86"/>
      <c r="F150" s="86"/>
      <c r="G150" s="85"/>
      <c r="H150" s="85"/>
      <c r="I150" s="85"/>
      <c r="J150" s="85"/>
      <c r="K150" s="85"/>
      <c r="L150" s="85"/>
      <c r="M150" s="108"/>
    </row>
    <row r="151" spans="1:13">
      <c r="A151" s="84"/>
      <c r="B151" s="85"/>
      <c r="C151" s="84"/>
      <c r="D151" s="86"/>
      <c r="E151" s="86"/>
      <c r="F151" s="86"/>
      <c r="G151" s="85"/>
      <c r="H151" s="85"/>
      <c r="I151" s="85"/>
      <c r="J151" s="85"/>
      <c r="K151" s="85"/>
      <c r="L151" s="85"/>
      <c r="M151" s="108"/>
    </row>
    <row r="152" spans="1:13">
      <c r="A152" s="84"/>
      <c r="B152" s="85"/>
      <c r="C152" s="84"/>
      <c r="D152" s="86"/>
      <c r="E152" s="86"/>
      <c r="F152" s="86"/>
      <c r="G152" s="85"/>
      <c r="H152" s="85"/>
      <c r="I152" s="85"/>
      <c r="J152" s="85"/>
      <c r="K152" s="85"/>
      <c r="L152" s="85"/>
      <c r="M152" s="108"/>
    </row>
    <row r="153" spans="1:13">
      <c r="A153" s="84"/>
      <c r="B153" s="85"/>
      <c r="C153" s="84"/>
      <c r="D153" s="86"/>
      <c r="E153" s="86"/>
      <c r="F153" s="86"/>
      <c r="G153" s="85"/>
      <c r="H153" s="85"/>
      <c r="I153" s="85"/>
      <c r="J153" s="85"/>
      <c r="K153" s="85"/>
      <c r="L153" s="85"/>
      <c r="M153" s="108"/>
    </row>
    <row r="154" spans="1:13">
      <c r="A154" s="84"/>
      <c r="B154" s="85"/>
      <c r="C154" s="84"/>
      <c r="D154" s="86"/>
      <c r="E154" s="86"/>
      <c r="F154" s="86"/>
      <c r="G154" s="85"/>
      <c r="H154" s="85"/>
      <c r="I154" s="85"/>
      <c r="J154" s="85"/>
      <c r="K154" s="85"/>
      <c r="L154" s="85"/>
      <c r="M154" s="108"/>
    </row>
    <row r="155" spans="1:13">
      <c r="A155" s="84"/>
      <c r="B155" s="85"/>
      <c r="C155" s="84"/>
      <c r="D155" s="86"/>
      <c r="E155" s="86"/>
      <c r="F155" s="86"/>
      <c r="G155" s="85"/>
      <c r="H155" s="85"/>
      <c r="I155" s="85"/>
      <c r="J155" s="85"/>
      <c r="K155" s="85"/>
      <c r="L155" s="85"/>
      <c r="M155" s="108"/>
    </row>
    <row r="156" spans="1:13">
      <c r="A156" s="84"/>
      <c r="B156" s="85"/>
      <c r="C156" s="84"/>
      <c r="D156" s="86"/>
      <c r="E156" s="86"/>
      <c r="F156" s="86"/>
      <c r="G156" s="85"/>
      <c r="H156" s="85"/>
      <c r="I156" s="85"/>
      <c r="J156" s="85"/>
      <c r="K156" s="85"/>
      <c r="L156" s="85"/>
      <c r="M156" s="108"/>
    </row>
    <row r="157" spans="1:13">
      <c r="A157" s="84"/>
      <c r="B157" s="85"/>
      <c r="C157" s="84"/>
      <c r="D157" s="86"/>
      <c r="E157" s="86"/>
      <c r="F157" s="86"/>
      <c r="G157" s="85"/>
      <c r="H157" s="85"/>
      <c r="I157" s="85"/>
      <c r="J157" s="85"/>
      <c r="K157" s="85"/>
      <c r="L157" s="85"/>
      <c r="M157" s="108"/>
    </row>
    <row r="158" spans="1:13">
      <c r="A158" s="84"/>
      <c r="B158" s="85"/>
      <c r="C158" s="84"/>
      <c r="D158" s="86"/>
      <c r="E158" s="86"/>
      <c r="F158" s="86"/>
      <c r="G158" s="85"/>
      <c r="H158" s="85"/>
      <c r="I158" s="85"/>
      <c r="J158" s="85"/>
      <c r="K158" s="85"/>
      <c r="L158" s="85"/>
      <c r="M158" s="108"/>
    </row>
    <row r="159" spans="1:13">
      <c r="A159" s="84"/>
      <c r="B159" s="85"/>
      <c r="C159" s="84"/>
      <c r="D159" s="86"/>
      <c r="E159" s="86"/>
      <c r="F159" s="86"/>
      <c r="G159" s="85"/>
      <c r="H159" s="85"/>
      <c r="I159" s="85"/>
      <c r="J159" s="85"/>
      <c r="K159" s="85"/>
      <c r="L159" s="85"/>
      <c r="M159" s="108"/>
    </row>
    <row r="160" spans="1:13">
      <c r="A160" s="84"/>
      <c r="B160" s="85"/>
      <c r="C160" s="84"/>
      <c r="D160" s="86"/>
      <c r="E160" s="86"/>
      <c r="F160" s="86"/>
      <c r="G160" s="85"/>
      <c r="H160" s="85"/>
      <c r="I160" s="85"/>
      <c r="J160" s="85"/>
      <c r="K160" s="85"/>
      <c r="L160" s="85"/>
      <c r="M160" s="108"/>
    </row>
    <row r="161" spans="1:13">
      <c r="A161" s="84"/>
      <c r="B161" s="85"/>
      <c r="C161" s="84"/>
      <c r="D161" s="86"/>
      <c r="E161" s="86"/>
      <c r="F161" s="86"/>
      <c r="G161" s="85"/>
      <c r="H161" s="85"/>
      <c r="I161" s="85"/>
      <c r="J161" s="85"/>
      <c r="K161" s="85"/>
      <c r="L161" s="85"/>
      <c r="M161" s="108"/>
    </row>
    <row r="162" spans="1:13">
      <c r="A162" s="84"/>
      <c r="B162" s="85"/>
      <c r="C162" s="84"/>
      <c r="D162" s="86"/>
      <c r="E162" s="86"/>
      <c r="F162" s="86"/>
      <c r="G162" s="85"/>
      <c r="H162" s="85"/>
      <c r="I162" s="85"/>
      <c r="J162" s="85"/>
      <c r="K162" s="85"/>
      <c r="L162" s="85"/>
      <c r="M162" s="108"/>
    </row>
    <row r="163" spans="1:13">
      <c r="A163" s="84"/>
      <c r="B163" s="85"/>
      <c r="C163" s="84"/>
      <c r="D163" s="86"/>
      <c r="E163" s="86"/>
      <c r="F163" s="86"/>
      <c r="G163" s="85"/>
      <c r="H163" s="85"/>
      <c r="I163" s="85"/>
      <c r="J163" s="85"/>
      <c r="K163" s="85"/>
      <c r="L163" s="85"/>
      <c r="M163" s="108"/>
    </row>
    <row r="164" spans="1:13">
      <c r="A164" s="84"/>
      <c r="B164" s="85"/>
      <c r="C164" s="84"/>
      <c r="D164" s="86"/>
      <c r="E164" s="86"/>
      <c r="F164" s="86"/>
      <c r="G164" s="85"/>
      <c r="H164" s="85"/>
      <c r="I164" s="85"/>
      <c r="J164" s="85"/>
      <c r="K164" s="85"/>
      <c r="L164" s="85"/>
      <c r="M164" s="108"/>
    </row>
  </sheetData>
  <mergeCells count="31">
    <mergeCell ref="B120:L120"/>
    <mergeCell ref="B69:C69"/>
    <mergeCell ref="B84:C84"/>
    <mergeCell ref="B86:C86"/>
    <mergeCell ref="B88:C88"/>
    <mergeCell ref="B90:C90"/>
    <mergeCell ref="C117:L117"/>
    <mergeCell ref="K12:L13"/>
    <mergeCell ref="F13:G13"/>
    <mergeCell ref="A15:A16"/>
    <mergeCell ref="B15:B16"/>
    <mergeCell ref="C15:F15"/>
    <mergeCell ref="G15:H15"/>
    <mergeCell ref="I15:J15"/>
    <mergeCell ref="K15:L15"/>
    <mergeCell ref="A10:A13"/>
    <mergeCell ref="B10:B13"/>
    <mergeCell ref="F10:G10"/>
    <mergeCell ref="F11:G11"/>
    <mergeCell ref="F12:G12"/>
    <mergeCell ref="K4:L11"/>
    <mergeCell ref="A1:B9"/>
    <mergeCell ref="C1:J1"/>
    <mergeCell ref="F7:G7"/>
    <mergeCell ref="F8:G8"/>
    <mergeCell ref="F9:G9"/>
    <mergeCell ref="F2:G2"/>
    <mergeCell ref="F3:G3"/>
    <mergeCell ref="F4:G4"/>
    <mergeCell ref="F5:G5"/>
    <mergeCell ref="F6:G6"/>
  </mergeCells>
  <conditionalFormatting sqref="F11:G11">
    <cfRule type="expression" dxfId="213" priority="23">
      <formula>$F$11&gt;0</formula>
    </cfRule>
  </conditionalFormatting>
  <conditionalFormatting sqref="F12:G12">
    <cfRule type="expression" dxfId="212" priority="22">
      <formula>$F$12&gt;0</formula>
    </cfRule>
  </conditionalFormatting>
  <conditionalFormatting sqref="F13:G13">
    <cfRule type="expression" dxfId="211" priority="21">
      <formula>$F$13&gt;0</formula>
    </cfRule>
  </conditionalFormatting>
  <conditionalFormatting sqref="J3">
    <cfRule type="expression" dxfId="210" priority="20">
      <formula>$J$3&gt;0</formula>
    </cfRule>
  </conditionalFormatting>
  <conditionalFormatting sqref="J4">
    <cfRule type="expression" dxfId="209" priority="19">
      <formula>$J$4&gt;0</formula>
    </cfRule>
  </conditionalFormatting>
  <conditionalFormatting sqref="J5">
    <cfRule type="expression" dxfId="208" priority="18">
      <formula>$J$5&gt;0</formula>
    </cfRule>
  </conditionalFormatting>
  <conditionalFormatting sqref="J6">
    <cfRule type="expression" dxfId="207" priority="17">
      <formula>$J$6&gt;0</formula>
    </cfRule>
  </conditionalFormatting>
  <conditionalFormatting sqref="J7">
    <cfRule type="expression" dxfId="206" priority="16">
      <formula>$J$7&gt;0</formula>
    </cfRule>
  </conditionalFormatting>
  <conditionalFormatting sqref="J8">
    <cfRule type="expression" dxfId="205" priority="15">
      <formula>$J$8&gt;0</formula>
    </cfRule>
  </conditionalFormatting>
  <conditionalFormatting sqref="J9">
    <cfRule type="expression" dxfId="204" priority="14">
      <formula>$J$9&gt;0</formula>
    </cfRule>
  </conditionalFormatting>
  <conditionalFormatting sqref="J10">
    <cfRule type="expression" dxfId="203" priority="12">
      <formula>$J$10&gt;0</formula>
    </cfRule>
    <cfRule type="expression" dxfId="202" priority="13">
      <formula>$J$10&gt;0</formula>
    </cfRule>
  </conditionalFormatting>
  <conditionalFormatting sqref="J11">
    <cfRule type="expression" dxfId="201" priority="11">
      <formula>$J$11&gt;0</formula>
    </cfRule>
  </conditionalFormatting>
  <conditionalFormatting sqref="J12">
    <cfRule type="expression" dxfId="200" priority="10">
      <formula>$J$12&gt;0</formula>
    </cfRule>
  </conditionalFormatting>
  <conditionalFormatting sqref="F4:G4">
    <cfRule type="expression" dxfId="199" priority="9">
      <formula>$F$4=" "</formula>
    </cfRule>
  </conditionalFormatting>
  <conditionalFormatting sqref="F6:G6">
    <cfRule type="expression" dxfId="198" priority="8">
      <formula>$F$6=" "</formula>
    </cfRule>
  </conditionalFormatting>
  <conditionalFormatting sqref="I17:I19">
    <cfRule type="expression" dxfId="197" priority="7">
      <formula>I17&gt;G17</formula>
    </cfRule>
  </conditionalFormatting>
  <conditionalFormatting sqref="I61 I63">
    <cfRule type="expression" dxfId="196" priority="6">
      <formula>I61&gt;G61</formula>
    </cfRule>
  </conditionalFormatting>
  <conditionalFormatting sqref="I71 I80">
    <cfRule type="expression" dxfId="195" priority="5">
      <formula>I71&gt;G71</formula>
    </cfRule>
  </conditionalFormatting>
  <conditionalFormatting sqref="I20:I60 I72:I78">
    <cfRule type="expression" dxfId="194" priority="4">
      <formula>$K20&gt;$G20</formula>
    </cfRule>
  </conditionalFormatting>
  <conditionalFormatting sqref="I62">
    <cfRule type="expression" dxfId="193" priority="3">
      <formula>I62&gt;G62</formula>
    </cfRule>
  </conditionalFormatting>
  <conditionalFormatting sqref="I79">
    <cfRule type="expression" dxfId="192" priority="2">
      <formula>I79&gt;G79</formula>
    </cfRule>
  </conditionalFormatting>
  <conditionalFormatting sqref="F111">
    <cfRule type="expression" dxfId="191" priority="1">
      <formula>$F$111&lt;&gt;$L$91</formula>
    </cfRule>
  </conditionalFormatting>
  <printOptions horizontalCentered="1"/>
  <pageMargins left="0.43307086614173229" right="0.43307086614173229" top="0.59055118110236227" bottom="0.59055118110236227" header="0.31496062992125984" footer="0.31496062992125984"/>
  <pageSetup scale="64" orientation="landscape" r:id="rId1"/>
  <headerFooter>
    <oddFooter>&amp;C&amp;"-,Cursiva"&amp;10&amp;A&amp;R&amp;"-,Cursiva"&amp;10Página &amp;P de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1:M165"/>
  <sheetViews>
    <sheetView topLeftCell="A45" zoomScaleNormal="100" workbookViewId="0">
      <selection activeCell="K57" sqref="K57"/>
    </sheetView>
  </sheetViews>
  <sheetFormatPr baseColWidth="10" defaultColWidth="13.7109375" defaultRowHeight="12"/>
  <cols>
    <col min="1" max="1" width="7.7109375" style="81" customWidth="1"/>
    <col min="2" max="2" width="54.5703125" style="82" customWidth="1"/>
    <col min="3" max="3" width="5.7109375" style="81" customWidth="1"/>
    <col min="4" max="4" width="9.140625" style="83" customWidth="1"/>
    <col min="5" max="5" width="14.7109375" style="83" customWidth="1"/>
    <col min="6" max="6" width="15.85546875" style="83" customWidth="1"/>
    <col min="7" max="7" width="13.42578125" style="82" customWidth="1"/>
    <col min="8" max="8" width="14.7109375" style="82" customWidth="1"/>
    <col min="9" max="9" width="13.28515625" style="82" customWidth="1"/>
    <col min="10" max="10" width="21.28515625" style="82" customWidth="1"/>
    <col min="11" max="12" width="15.28515625" style="82" customWidth="1"/>
    <col min="13" max="13" width="4.7109375" style="82" customWidth="1"/>
    <col min="14" max="16384" width="13.7109375" style="82"/>
  </cols>
  <sheetData>
    <row r="1" spans="1:12" ht="14.45" customHeight="1">
      <c r="A1" s="1049" t="s">
        <v>246</v>
      </c>
      <c r="B1" s="1050"/>
      <c r="C1" s="1051" t="str">
        <f>"MUNICIPIO DE "&amp;DATOS!E8</f>
        <v xml:space="preserve">MUNICIPIO DE </v>
      </c>
      <c r="D1" s="1052"/>
      <c r="E1" s="1052"/>
      <c r="F1" s="1052"/>
      <c r="G1" s="1052"/>
      <c r="H1" s="1052"/>
      <c r="I1" s="1052"/>
      <c r="J1" s="1052"/>
      <c r="K1" s="129" t="s">
        <v>90</v>
      </c>
      <c r="L1" s="130" t="s">
        <v>84</v>
      </c>
    </row>
    <row r="2" spans="1:12" ht="12" customHeight="1">
      <c r="A2" s="1050"/>
      <c r="B2" s="1050"/>
      <c r="C2" s="103" t="str">
        <f>DATOS!E10&amp;" No.:"</f>
        <v xml:space="preserve"> No.:</v>
      </c>
      <c r="D2" s="104"/>
      <c r="E2" s="105"/>
      <c r="F2" s="1053" t="str">
        <f>DATOS!E12&amp;" "&amp;DATOS!G12&amp;" "&amp;DATOS!I12</f>
        <v xml:space="preserve">  </v>
      </c>
      <c r="G2" s="1055"/>
      <c r="H2" s="103" t="s">
        <v>184</v>
      </c>
      <c r="I2" s="105"/>
      <c r="J2" s="109">
        <f>DATOS!E52</f>
        <v>0</v>
      </c>
      <c r="K2" s="129" t="s">
        <v>89</v>
      </c>
      <c r="L2" s="130" t="s">
        <v>248</v>
      </c>
    </row>
    <row r="3" spans="1:12" ht="12" customHeight="1">
      <c r="A3" s="1050"/>
      <c r="B3" s="1050"/>
      <c r="C3" s="98" t="s">
        <v>4</v>
      </c>
      <c r="D3" s="99"/>
      <c r="E3" s="100"/>
      <c r="F3" s="1053">
        <f>DATOS!G16</f>
        <v>0</v>
      </c>
      <c r="G3" s="1055"/>
      <c r="H3" s="103" t="s">
        <v>236</v>
      </c>
      <c r="I3" s="105"/>
      <c r="J3" s="110">
        <f>DATOS!E72</f>
        <v>42428</v>
      </c>
      <c r="K3" s="129" t="s">
        <v>247</v>
      </c>
      <c r="L3" s="130" t="s">
        <v>249</v>
      </c>
    </row>
    <row r="4" spans="1:12" ht="12" customHeight="1">
      <c r="A4" s="1050"/>
      <c r="B4" s="1050"/>
      <c r="C4" s="98" t="s">
        <v>5</v>
      </c>
      <c r="D4" s="99"/>
      <c r="E4" s="100"/>
      <c r="F4" s="1053" t="str">
        <f>IF(DATOS!E16="Persona Jurídica",DATOS!G20," ")</f>
        <v xml:space="preserve"> </v>
      </c>
      <c r="G4" s="1055"/>
      <c r="H4" s="103" t="s">
        <v>241</v>
      </c>
      <c r="I4" s="105"/>
      <c r="J4" s="106">
        <f>DATOS!E74</f>
        <v>42459</v>
      </c>
      <c r="K4" s="1062" t="s">
        <v>378</v>
      </c>
      <c r="L4" s="1063"/>
    </row>
    <row r="5" spans="1:12" ht="12" customHeight="1">
      <c r="A5" s="1050"/>
      <c r="B5" s="1050"/>
      <c r="C5" s="98" t="s">
        <v>105</v>
      </c>
      <c r="D5" s="99"/>
      <c r="E5" s="100"/>
      <c r="F5" s="1053">
        <f>LOOKUP(C5,DATOS!C24:C30,DATOS!G24:G30)</f>
        <v>0</v>
      </c>
      <c r="G5" s="1055"/>
      <c r="H5" s="103" t="s">
        <v>237</v>
      </c>
      <c r="I5" s="105"/>
      <c r="J5" s="106">
        <f>DATOS!E78</f>
        <v>42491</v>
      </c>
      <c r="K5" s="1062"/>
      <c r="L5" s="1063"/>
    </row>
    <row r="6" spans="1:12" ht="12" customHeight="1">
      <c r="A6" s="1050"/>
      <c r="B6" s="1050"/>
      <c r="C6" s="98" t="s">
        <v>5</v>
      </c>
      <c r="D6" s="99"/>
      <c r="E6" s="100"/>
      <c r="F6" s="1053" t="str">
        <f>IF(DATOS!E24="Persona Jurídica",DATOS!G28," ")</f>
        <v xml:space="preserve"> </v>
      </c>
      <c r="G6" s="1055"/>
      <c r="H6" s="103" t="s">
        <v>242</v>
      </c>
      <c r="I6" s="105"/>
      <c r="J6" s="106">
        <f>DATOS!E80</f>
        <v>42916</v>
      </c>
      <c r="K6" s="1062"/>
      <c r="L6" s="1063"/>
    </row>
    <row r="7" spans="1:12" ht="12" customHeight="1">
      <c r="A7" s="1050"/>
      <c r="B7" s="1050"/>
      <c r="C7" s="98" t="s">
        <v>185</v>
      </c>
      <c r="D7" s="99"/>
      <c r="E7" s="100"/>
      <c r="F7" s="1041">
        <f>DATOS!E46</f>
        <v>0</v>
      </c>
      <c r="G7" s="1043"/>
      <c r="H7" s="103" t="s">
        <v>238</v>
      </c>
      <c r="I7" s="105"/>
      <c r="J7" s="106">
        <f>DATOS!E84</f>
        <v>42541</v>
      </c>
      <c r="K7" s="1062"/>
      <c r="L7" s="1063"/>
    </row>
    <row r="8" spans="1:12" ht="12" customHeight="1">
      <c r="A8" s="1050"/>
      <c r="B8" s="1050"/>
      <c r="C8" s="98" t="s">
        <v>77</v>
      </c>
      <c r="D8" s="99"/>
      <c r="E8" s="100"/>
      <c r="F8" s="1041">
        <f>DATOS!E60</f>
        <v>30000000</v>
      </c>
      <c r="G8" s="1043"/>
      <c r="H8" s="103" t="s">
        <v>243</v>
      </c>
      <c r="I8" s="105"/>
      <c r="J8" s="106">
        <f>DATOS!E86</f>
        <v>42546</v>
      </c>
      <c r="K8" s="1062"/>
      <c r="L8" s="1063"/>
    </row>
    <row r="9" spans="1:12" ht="12" customHeight="1">
      <c r="A9" s="1050"/>
      <c r="B9" s="1050"/>
      <c r="C9" s="98" t="s">
        <v>78</v>
      </c>
      <c r="D9" s="99"/>
      <c r="E9" s="100"/>
      <c r="F9" s="1041">
        <f>DATOS!E62</f>
        <v>0</v>
      </c>
      <c r="G9" s="1043"/>
      <c r="H9" s="103" t="s">
        <v>239</v>
      </c>
      <c r="I9" s="105"/>
      <c r="J9" s="106">
        <f>DATOS!E90</f>
        <v>0</v>
      </c>
      <c r="K9" s="1062"/>
      <c r="L9" s="1063"/>
    </row>
    <row r="10" spans="1:12" ht="12" customHeight="1">
      <c r="A10" s="1044" t="s">
        <v>8</v>
      </c>
      <c r="B10" s="1045">
        <f>DATOS!E38</f>
        <v>0</v>
      </c>
      <c r="C10" s="98" t="s">
        <v>186</v>
      </c>
      <c r="D10" s="99"/>
      <c r="E10" s="100"/>
      <c r="F10" s="1041">
        <f>F7+F8+F9</f>
        <v>30000000</v>
      </c>
      <c r="G10" s="1043"/>
      <c r="H10" s="103" t="s">
        <v>244</v>
      </c>
      <c r="I10" s="105"/>
      <c r="J10" s="106">
        <f>DATOS!E92</f>
        <v>0</v>
      </c>
      <c r="K10" s="1062"/>
      <c r="L10" s="1063"/>
    </row>
    <row r="11" spans="1:12" ht="12" customHeight="1">
      <c r="A11" s="1044"/>
      <c r="B11" s="1045"/>
      <c r="C11" s="98" t="s">
        <v>233</v>
      </c>
      <c r="D11" s="99"/>
      <c r="E11" s="100"/>
      <c r="F11" s="1046">
        <f>DATOS!E174</f>
        <v>42602</v>
      </c>
      <c r="G11" s="1048"/>
      <c r="H11" s="103" t="s">
        <v>240</v>
      </c>
      <c r="I11" s="105"/>
      <c r="J11" s="106"/>
      <c r="K11" s="1064"/>
      <c r="L11" s="1065"/>
    </row>
    <row r="12" spans="1:12" ht="12" customHeight="1">
      <c r="A12" s="1044"/>
      <c r="B12" s="1045"/>
      <c r="C12" s="98" t="s">
        <v>234</v>
      </c>
      <c r="D12" s="99"/>
      <c r="E12" s="100"/>
      <c r="F12" s="1046">
        <f>DATOS!E176</f>
        <v>0</v>
      </c>
      <c r="G12" s="1048"/>
      <c r="H12" s="103" t="s">
        <v>245</v>
      </c>
      <c r="I12" s="105"/>
      <c r="J12" s="106"/>
      <c r="K12" s="1073">
        <f>DATOS!E158</f>
        <v>0</v>
      </c>
      <c r="L12" s="1074"/>
    </row>
    <row r="13" spans="1:12" ht="12" customHeight="1">
      <c r="A13" s="1044"/>
      <c r="B13" s="1045"/>
      <c r="C13" s="98" t="s">
        <v>235</v>
      </c>
      <c r="D13" s="99"/>
      <c r="E13" s="100"/>
      <c r="F13" s="1046">
        <f>DATOS!E178</f>
        <v>0</v>
      </c>
      <c r="G13" s="1048"/>
      <c r="H13" s="103" t="s">
        <v>72</v>
      </c>
      <c r="I13" s="105"/>
      <c r="J13" s="107">
        <f>DATOS!E132</f>
        <v>614</v>
      </c>
      <c r="K13" s="1075"/>
      <c r="L13" s="1076"/>
    </row>
    <row r="14" spans="1:12">
      <c r="A14" s="84"/>
      <c r="B14" s="85"/>
      <c r="C14" s="84"/>
      <c r="D14" s="86"/>
      <c r="E14" s="86"/>
      <c r="F14" s="86"/>
      <c r="G14" s="85"/>
      <c r="H14" s="85"/>
      <c r="I14" s="85"/>
      <c r="J14" s="85"/>
      <c r="K14" s="85"/>
      <c r="L14" s="85"/>
    </row>
    <row r="15" spans="1:12">
      <c r="A15" s="1040" t="s">
        <v>181</v>
      </c>
      <c r="B15" s="1040" t="s">
        <v>115</v>
      </c>
      <c r="C15" s="1147" t="s">
        <v>182</v>
      </c>
      <c r="D15" s="1148"/>
      <c r="E15" s="1148"/>
      <c r="F15" s="1149"/>
      <c r="G15" s="1139" t="s">
        <v>187</v>
      </c>
      <c r="H15" s="1140"/>
      <c r="I15" s="1141" t="s">
        <v>188</v>
      </c>
      <c r="J15" s="1142"/>
      <c r="K15" s="1143" t="s">
        <v>189</v>
      </c>
      <c r="L15" s="1143"/>
    </row>
    <row r="16" spans="1:12">
      <c r="A16" s="1040"/>
      <c r="B16" s="1040"/>
      <c r="C16" s="319" t="s">
        <v>164</v>
      </c>
      <c r="D16" s="96" t="s">
        <v>118</v>
      </c>
      <c r="E16" s="96" t="s">
        <v>180</v>
      </c>
      <c r="F16" s="96" t="s">
        <v>117</v>
      </c>
      <c r="G16" s="101" t="s">
        <v>317</v>
      </c>
      <c r="H16" s="101" t="s">
        <v>117</v>
      </c>
      <c r="I16" s="131" t="s">
        <v>317</v>
      </c>
      <c r="J16" s="131" t="s">
        <v>117</v>
      </c>
      <c r="K16" s="320" t="s">
        <v>317</v>
      </c>
      <c r="L16" s="320" t="s">
        <v>117</v>
      </c>
    </row>
    <row r="17" spans="1:13">
      <c r="A17" s="87" t="str">
        <f>IF(LOOKUP(M17,PPTO!$J$8:$J$269,PPTO!A$8:A$269)=0," ",LOOKUP(M17,PPTO!$J$8:$J$269,PPTO!A$8:A$269))</f>
        <v xml:space="preserve"> </v>
      </c>
      <c r="B17" s="88" t="str">
        <f>IF(LOOKUP(M17,PPTO!$J$8:J$269,PPTO!B$8:B$269)=0," ",LOOKUP(M17,PPTO!$J$8:J$269,PPTO!B$8:B$269))</f>
        <v xml:space="preserve"> </v>
      </c>
      <c r="C17" s="89" t="str">
        <f>IF(LOOKUP(M17,PPTO!$J$8:$J$269,PPTO!D$8:D$269)=0," ",LOOKUP(M17,PPTO!$J$8:$J$269,PPTO!D$8:D$269))</f>
        <v xml:space="preserve"> </v>
      </c>
      <c r="D17" s="90" t="str">
        <f>IF(LOOKUP(M17,PPTO!$J$8:$J$269,PPTO!D$8:D$269)=0," ",LOOKUP(M17,PPTO!$J$8:$J$269,PPTO!D$8:D$269))</f>
        <v xml:space="preserve"> </v>
      </c>
      <c r="E17" s="90" t="str">
        <f>IF(LOOKUP(M17,PPTO!$J$8:$J$269,PPTO!E$8:E$269)=0," ",LOOKUP(M17,PPTO!$J$8:$J$269,PPTO!E$8:E$269))</f>
        <v xml:space="preserve"> </v>
      </c>
      <c r="F17" s="90" t="str">
        <f>IF(LOOKUP(M17,PPTO!$J$8:$J$269,PPTO!F$8:F$269)=0," ",LOOKUP(M17,PPTO!$J$8:$J$269,PPTO!F$8:F$269))</f>
        <v xml:space="preserve"> </v>
      </c>
      <c r="G17" s="178"/>
      <c r="H17" s="102"/>
      <c r="I17" s="174"/>
      <c r="J17" s="102"/>
      <c r="K17" s="102"/>
      <c r="L17" s="102"/>
      <c r="M17" s="108">
        <v>1</v>
      </c>
    </row>
    <row r="18" spans="1:13">
      <c r="A18" s="87" t="str">
        <f>IF(LOOKUP(M18,PPTO!$J$8:$J$269,PPTO!A$8:A$269)=0," ",LOOKUP(M18,PPTO!$J$8:$J$269,PPTO!A$8:A$269))</f>
        <v xml:space="preserve"> </v>
      </c>
      <c r="B18" s="88" t="str">
        <f>IF(LOOKUP(M18,PPTO!$J$8:J$269,PPTO!B$8:B$269)=0," ",LOOKUP(M18,PPTO!$J$8:J$269,PPTO!B$8:B$269))</f>
        <v>PRESUPUESTO OBRA CIVIL</v>
      </c>
      <c r="C18" s="89" t="str">
        <f>IF(LOOKUP(M18,PPTO!$J$8:$J$269,PPTO!D$8:D$269)=0," ",LOOKUP(M18,PPTO!$J$8:$J$269,PPTO!D$8:D$269))</f>
        <v xml:space="preserve"> </v>
      </c>
      <c r="D18" s="90" t="str">
        <f>IF(LOOKUP(M18,PPTO!$J$8:$J$269,PPTO!D$8:D$269)=0," ",LOOKUP(M18,PPTO!$J$8:$J$269,PPTO!D$8:D$269))</f>
        <v xml:space="preserve"> </v>
      </c>
      <c r="E18" s="90" t="str">
        <f>IF(LOOKUP(M18,PPTO!$J$8:$J$269,PPTO!E$8:E$269)=0," ",LOOKUP(M18,PPTO!$J$8:$J$269,PPTO!E$8:E$269))</f>
        <v xml:space="preserve"> </v>
      </c>
      <c r="F18" s="90" t="str">
        <f>IF(LOOKUP(M18,PPTO!$J$8:$J$269,PPTO!H$8:H$269)=0," ",LOOKUP(M18,PPTO!$J$8:$J$269,PPTO!H$8:H$269))</f>
        <v xml:space="preserve"> </v>
      </c>
      <c r="G18" s="178"/>
      <c r="H18" s="102"/>
      <c r="I18" s="174"/>
      <c r="J18" s="102"/>
      <c r="K18" s="102"/>
      <c r="L18" s="102"/>
      <c r="M18" s="108">
        <f>M17+1</f>
        <v>2</v>
      </c>
    </row>
    <row r="19" spans="1:13">
      <c r="A19" s="92">
        <f>IF(LOOKUP(M19,PPTO!$J$8:$J$269,PPTO!A$8:A$269)=0," ",LOOKUP(M19,PPTO!$J$8:$J$269,PPTO!A$8:A$269))</f>
        <v>1</v>
      </c>
      <c r="B19" s="88" t="str">
        <f>IF(LOOKUP(M19,PPTO!$J$8:J$269,PPTO!B$8:B$269)=0," ",LOOKUP(M19,PPTO!$J$8:J$269,PPTO!B$8:B$269))</f>
        <v>PRELIMINARES</v>
      </c>
      <c r="C19" s="89" t="str">
        <f>IF(LOOKUP(M19,PPTO!$J$8:$J$269,PPTO!D$8:D$269)=0," ",LOOKUP(M19,PPTO!$J$8:$J$269,PPTO!D$8:D$269))</f>
        <v xml:space="preserve"> </v>
      </c>
      <c r="D19" s="90" t="str">
        <f>IF(LOOKUP(M19,PPTO!$J$8:$J$269,PPTO!E$8:E$269)=0," ",LOOKUP(M19,PPTO!$J$8:$J$269,PPTO!E$8:E$269))</f>
        <v xml:space="preserve"> </v>
      </c>
      <c r="E19" s="90" t="str">
        <f>IF(LOOKUP(M19,PPTO!$J$8:$J$269,PPTO!F$8:F$269)=0," ",LOOKUP(M19,PPTO!$J$8:$J$269,PPTO!F$8:F$269))</f>
        <v xml:space="preserve"> </v>
      </c>
      <c r="F19" s="90" t="str">
        <f>IF(LOOKUP(M19,PPTO!$J$8:$J$269,PPTO!H$8:H$269)=0," ",LOOKUP(M19,PPTO!$J$8:$J$269,PPTO!H$8:H$269))</f>
        <v xml:space="preserve"> </v>
      </c>
      <c r="G19" s="178"/>
      <c r="H19" s="102"/>
      <c r="I19" s="174"/>
      <c r="J19" s="102"/>
      <c r="K19" s="102"/>
      <c r="L19" s="102"/>
      <c r="M19" s="108">
        <f t="shared" ref="M19:M60" si="0">M18+1</f>
        <v>3</v>
      </c>
    </row>
    <row r="20" spans="1:13">
      <c r="A20" s="87" t="str">
        <f>IF(LOOKUP(M20,PPTO!$J$8:$J$269,PPTO!A$8:A$269)=0," ",LOOKUP(M20,PPTO!$J$8:$J$269,PPTO!A$8:A$269))</f>
        <v>1.02</v>
      </c>
      <c r="B20" s="91" t="str">
        <f>IF(LOOKUP(M20,PPTO!$J$8:J$269,PPTO!B$8:B$269)=0," ",LOOKUP(M20,PPTO!$J$8:J$269,PPTO!B$8:B$269))</f>
        <v xml:space="preserve"> </v>
      </c>
      <c r="C20" s="89" t="str">
        <f>IF(LOOKUP(M20,PPTO!$J$8:$J$269,PPTO!D$8:D$269)=0," ",LOOKUP(M20,PPTO!$J$8:$J$269,PPTO!D$8:D$269))</f>
        <v>ML</v>
      </c>
      <c r="D20" s="90" t="str">
        <f>IF(LOOKUP(M20,PPTO!$J$8:$J$269,PPTO!E$8:E$269)=0," ",LOOKUP(M20,PPTO!$J$8:$J$269,PPTO!E$8:E$269))</f>
        <v xml:space="preserve"> </v>
      </c>
      <c r="E20" s="90" t="str">
        <f>IF(LOOKUP(M20,PPTO!$J$8:$J$269,PPTO!F$8:F$269)=0," ",LOOKUP(M20,PPTO!$J$8:$J$269,PPTO!F$8:F$269))</f>
        <v xml:space="preserve"> </v>
      </c>
      <c r="F20" s="90" t="str">
        <f>IF(LOOKUP(M20,PPTO!$J$8:$J$269,PPTO!H$8:H$269)=0," ",LOOKUP(M20,PPTO!$J$8:$J$269,PPTO!H$8:H$269))</f>
        <v xml:space="preserve"> </v>
      </c>
      <c r="G20" s="178">
        <v>15000</v>
      </c>
      <c r="H20" s="102" t="e">
        <f>ROUND(G20*E20,0)</f>
        <v>#VALUE!</v>
      </c>
      <c r="I20" s="174">
        <v>0</v>
      </c>
      <c r="J20" s="102" t="e">
        <f>ROUND(I20*E20,0)</f>
        <v>#VALUE!</v>
      </c>
      <c r="K20" s="102" t="e">
        <f>I20+'ACTA PARCIAL No.8'!K20</f>
        <v>#REF!</v>
      </c>
      <c r="L20" s="102" t="e">
        <f>ROUND(K20*E20,0)</f>
        <v>#REF!</v>
      </c>
      <c r="M20" s="108">
        <f t="shared" si="0"/>
        <v>4</v>
      </c>
    </row>
    <row r="21" spans="1:13">
      <c r="A21" s="87">
        <f>IF(LOOKUP(M21,PPTO!$J$8:$J$269,PPTO!A$8:A$269)=0," ",LOOKUP(M21,PPTO!$J$8:$J$269,PPTO!A$8:A$269))</f>
        <v>2</v>
      </c>
      <c r="B21" s="91" t="str">
        <f>IF(LOOKUP(M21,PPTO!$J$8:J$269,PPTO!B$8:B$269)=0," ",LOOKUP(M21,PPTO!$J$8:J$269,PPTO!B$8:B$269))</f>
        <v>DEMOLICION Y ROTURAS</v>
      </c>
      <c r="C21" s="89" t="str">
        <f>IF(LOOKUP(M21,PPTO!$J$8:$J$269,PPTO!D$8:D$269)=0," ",LOOKUP(M21,PPTO!$J$8:$J$269,PPTO!D$8:D$269))</f>
        <v xml:space="preserve"> </v>
      </c>
      <c r="D21" s="90" t="str">
        <f>IF(LOOKUP(M21,PPTO!$J$8:$J$269,PPTO!E$8:E$269)=0," ",LOOKUP(M21,PPTO!$J$8:$J$269,PPTO!E$8:E$269))</f>
        <v xml:space="preserve"> </v>
      </c>
      <c r="E21" s="90" t="str">
        <f>IF(LOOKUP(M21,PPTO!$J$8:$J$269,PPTO!F$8:F$269)=0," ",LOOKUP(M21,PPTO!$J$8:$J$269,PPTO!F$8:F$269))</f>
        <v xml:space="preserve"> </v>
      </c>
      <c r="F21" s="90" t="str">
        <f>IF(LOOKUP(M21,PPTO!$J$8:$J$269,PPTO!H$8:H$269)=0," ",LOOKUP(M21,PPTO!$J$8:$J$269,PPTO!H$8:H$269))</f>
        <v xml:space="preserve"> </v>
      </c>
      <c r="G21" s="178"/>
      <c r="H21" s="102"/>
      <c r="I21" s="174"/>
      <c r="J21" s="102"/>
      <c r="K21" s="102"/>
      <c r="L21" s="102"/>
      <c r="M21" s="108">
        <f t="shared" si="0"/>
        <v>5</v>
      </c>
    </row>
    <row r="22" spans="1:13">
      <c r="A22" s="87" t="str">
        <f>IF(LOOKUP(M22,PPTO!$J$8:$J$269,PPTO!A$8:A$269)=0," ",LOOKUP(M22,PPTO!$J$8:$J$269,PPTO!A$8:A$269))</f>
        <v>2.01</v>
      </c>
      <c r="B22" s="91" t="str">
        <f>IF(LOOKUP(M22,PPTO!$J$8:J$269,PPTO!B$8:B$269)=0," ",LOOKUP(M22,PPTO!$J$8:J$269,PPTO!B$8:B$269))</f>
        <v xml:space="preserve"> </v>
      </c>
      <c r="C22" s="89" t="str">
        <f>IF(LOOKUP(M22,PPTO!$J$8:$J$269,PPTO!D$8:D$269)=0," ",LOOKUP(M22,PPTO!$J$8:$J$269,PPTO!D$8:D$269))</f>
        <v>ML</v>
      </c>
      <c r="D22" s="90" t="str">
        <f>IF(LOOKUP(M22,PPTO!$J$8:$J$269,PPTO!E$8:E$269)=0," ",LOOKUP(M22,PPTO!$J$8:$J$269,PPTO!E$8:E$269))</f>
        <v xml:space="preserve"> </v>
      </c>
      <c r="E22" s="90" t="str">
        <f>IF(LOOKUP(M22,PPTO!$J$8:$J$269,PPTO!F$8:F$269)=0," ",LOOKUP(M22,PPTO!$J$8:$J$269,PPTO!F$8:F$269))</f>
        <v xml:space="preserve"> </v>
      </c>
      <c r="F22" s="90" t="str">
        <f>IF(LOOKUP(M22,PPTO!$J$8:$J$269,PPTO!H$8:H$269)=0," ",LOOKUP(M22,PPTO!$J$8:$J$269,PPTO!H$8:H$269))</f>
        <v xml:space="preserve"> </v>
      </c>
      <c r="G22" s="178">
        <v>14696</v>
      </c>
      <c r="H22" s="102" t="e">
        <f t="shared" ref="H22:H60" si="1">ROUND(G22*E22,0)</f>
        <v>#VALUE!</v>
      </c>
      <c r="I22" s="174">
        <v>0</v>
      </c>
      <c r="J22" s="102" t="e">
        <f t="shared" ref="J22:J60" si="2">ROUND(I22*E22,0)</f>
        <v>#VALUE!</v>
      </c>
      <c r="K22" s="102" t="e">
        <f>I22+'ACTA PARCIAL No.8'!K22</f>
        <v>#REF!</v>
      </c>
      <c r="L22" s="102" t="e">
        <f t="shared" ref="L22:L60" si="3">ROUND(K22*E22,0)</f>
        <v>#REF!</v>
      </c>
      <c r="M22" s="108">
        <f t="shared" si="0"/>
        <v>6</v>
      </c>
    </row>
    <row r="23" spans="1:13">
      <c r="A23" s="87" t="str">
        <f>IF(LOOKUP(M23,PPTO!$J$8:$J$269,PPTO!A$8:A$269)=0," ",LOOKUP(M23,PPTO!$J$8:$J$269,PPTO!A$8:A$269))</f>
        <v>2.02</v>
      </c>
      <c r="B23" s="91" t="str">
        <f>IF(LOOKUP(M23,PPTO!$J$8:J$269,PPTO!B$8:B$269)=0," ",LOOKUP(M23,PPTO!$J$8:J$269,PPTO!B$8:B$269))</f>
        <v xml:space="preserve"> </v>
      </c>
      <c r="C23" s="89" t="str">
        <f>IF(LOOKUP(M23,PPTO!$J$8:$J$269,PPTO!D$8:D$269)=0," ",LOOKUP(M23,PPTO!$J$8:$J$269,PPTO!D$8:D$269))</f>
        <v>M2</v>
      </c>
      <c r="D23" s="90" t="str">
        <f>IF(LOOKUP(M23,PPTO!$J$8:$J$269,PPTO!E$8:E$269)=0," ",LOOKUP(M23,PPTO!$J$8:$J$269,PPTO!E$8:E$269))</f>
        <v xml:space="preserve"> </v>
      </c>
      <c r="E23" s="90" t="str">
        <f>IF(LOOKUP(M23,PPTO!$J$8:$J$269,PPTO!F$8:F$269)=0," ",LOOKUP(M23,PPTO!$J$8:$J$269,PPTO!F$8:F$269))</f>
        <v xml:space="preserve"> </v>
      </c>
      <c r="F23" s="90" t="str">
        <f>IF(LOOKUP(M23,PPTO!$J$8:$J$269,PPTO!H$8:H$269)=0," ",LOOKUP(M23,PPTO!$J$8:$J$269,PPTO!H$8:H$269))</f>
        <v xml:space="preserve"> </v>
      </c>
      <c r="G23" s="178">
        <v>4134</v>
      </c>
      <c r="H23" s="102" t="e">
        <f t="shared" si="1"/>
        <v>#VALUE!</v>
      </c>
      <c r="I23" s="174">
        <v>0</v>
      </c>
      <c r="J23" s="102" t="e">
        <f t="shared" si="2"/>
        <v>#VALUE!</v>
      </c>
      <c r="K23" s="102" t="e">
        <f>I23+'ACTA PARCIAL No.8'!K23</f>
        <v>#REF!</v>
      </c>
      <c r="L23" s="102" t="e">
        <f t="shared" si="3"/>
        <v>#REF!</v>
      </c>
      <c r="M23" s="108">
        <f t="shared" si="0"/>
        <v>7</v>
      </c>
    </row>
    <row r="24" spans="1:13">
      <c r="A24" s="87" t="str">
        <f>IF(LOOKUP(M24,PPTO!$J$8:$J$269,PPTO!A$8:A$269)=0," ",LOOKUP(M24,PPTO!$J$8:$J$269,PPTO!A$8:A$269))</f>
        <v>2.03</v>
      </c>
      <c r="B24" s="91" t="str">
        <f>IF(LOOKUP(M24,PPTO!$J$8:J$269,PPTO!B$8:B$269)=0," ",LOOKUP(M24,PPTO!$J$8:J$269,PPTO!B$8:B$269))</f>
        <v xml:space="preserve"> </v>
      </c>
      <c r="C24" s="89" t="str">
        <f>IF(LOOKUP(M24,PPTO!$J$8:$J$269,PPTO!D$8:D$269)=0," ",LOOKUP(M24,PPTO!$J$8:$J$269,PPTO!D$8:D$269))</f>
        <v>M2</v>
      </c>
      <c r="D24" s="90" t="str">
        <f>IF(LOOKUP(M24,PPTO!$J$8:$J$269,PPTO!E$8:E$269)=0," ",LOOKUP(M24,PPTO!$J$8:$J$269,PPTO!E$8:E$269))</f>
        <v xml:space="preserve"> </v>
      </c>
      <c r="E24" s="90" t="str">
        <f>IF(LOOKUP(M24,PPTO!$J$8:$J$269,PPTO!F$8:F$269)=0," ",LOOKUP(M24,PPTO!$J$8:$J$269,PPTO!F$8:F$269))</f>
        <v xml:space="preserve"> </v>
      </c>
      <c r="F24" s="90" t="str">
        <f>IF(LOOKUP(M24,PPTO!$J$8:$J$269,PPTO!H$8:H$269)=0," ",LOOKUP(M24,PPTO!$J$8:$J$269,PPTO!H$8:H$269))</f>
        <v xml:space="preserve"> </v>
      </c>
      <c r="G24" s="178">
        <v>14696</v>
      </c>
      <c r="H24" s="102" t="e">
        <f t="shared" si="1"/>
        <v>#VALUE!</v>
      </c>
      <c r="I24" s="174">
        <v>0</v>
      </c>
      <c r="J24" s="102" t="e">
        <f t="shared" si="2"/>
        <v>#VALUE!</v>
      </c>
      <c r="K24" s="102" t="e">
        <f>I24+'ACTA PARCIAL No.8'!K24</f>
        <v>#REF!</v>
      </c>
      <c r="L24" s="102" t="e">
        <f t="shared" si="3"/>
        <v>#REF!</v>
      </c>
      <c r="M24" s="108">
        <f t="shared" si="0"/>
        <v>8</v>
      </c>
    </row>
    <row r="25" spans="1:13">
      <c r="A25" s="87" t="str">
        <f>IF(LOOKUP(M25,PPTO!$J$8:$J$269,PPTO!A$8:A$269)=0," ",LOOKUP(M25,PPTO!$J$8:$J$269,PPTO!A$8:A$269))</f>
        <v>2.04</v>
      </c>
      <c r="B25" s="91" t="str">
        <f>IF(LOOKUP(M25,PPTO!$J$8:J$269,PPTO!B$8:B$269)=0," ",LOOKUP(M25,PPTO!$J$8:J$269,PPTO!B$8:B$269))</f>
        <v xml:space="preserve"> </v>
      </c>
      <c r="C25" s="89" t="str">
        <f>IF(LOOKUP(M25,PPTO!$J$8:$J$269,PPTO!D$8:D$269)=0," ",LOOKUP(M25,PPTO!$J$8:$J$269,PPTO!D$8:D$269))</f>
        <v>UND</v>
      </c>
      <c r="D25" s="90" t="str">
        <f>IF(LOOKUP(M25,PPTO!$J$8:$J$269,PPTO!E$8:E$269)=0," ",LOOKUP(M25,PPTO!$J$8:$J$269,PPTO!E$8:E$269))</f>
        <v xml:space="preserve"> </v>
      </c>
      <c r="E25" s="90" t="str">
        <f>IF(LOOKUP(M25,PPTO!$J$8:$J$269,PPTO!F$8:F$269)=0," ",LOOKUP(M25,PPTO!$J$8:$J$269,PPTO!F$8:F$269))</f>
        <v xml:space="preserve"> </v>
      </c>
      <c r="F25" s="90" t="str">
        <f>IF(LOOKUP(M25,PPTO!$J$8:$J$269,PPTO!H$8:H$269)=0," ",LOOKUP(M25,PPTO!$J$8:$J$269,PPTO!H$8:H$269))</f>
        <v xml:space="preserve"> </v>
      </c>
      <c r="G25" s="178">
        <v>200</v>
      </c>
      <c r="H25" s="102" t="e">
        <f t="shared" si="1"/>
        <v>#VALUE!</v>
      </c>
      <c r="I25" s="174">
        <v>0</v>
      </c>
      <c r="J25" s="102" t="e">
        <f t="shared" si="2"/>
        <v>#VALUE!</v>
      </c>
      <c r="K25" s="102" t="e">
        <f>I25+'ACTA PARCIAL No.8'!K25</f>
        <v>#REF!</v>
      </c>
      <c r="L25" s="102" t="e">
        <f t="shared" si="3"/>
        <v>#REF!</v>
      </c>
      <c r="M25" s="108">
        <f t="shared" si="0"/>
        <v>9</v>
      </c>
    </row>
    <row r="26" spans="1:13">
      <c r="A26" s="87">
        <f>IF(LOOKUP(M26,PPTO!$J$8:$J$269,PPTO!A$8:A$269)=0," ",LOOKUP(M26,PPTO!$J$8:$J$269,PPTO!A$8:A$269))</f>
        <v>3</v>
      </c>
      <c r="B26" s="91" t="str">
        <f>IF(LOOKUP(M26,PPTO!$J$8:J$269,PPTO!B$8:B$269)=0," ",LOOKUP(M26,PPTO!$J$8:J$269,PPTO!B$8:B$269))</f>
        <v>MOVIMIENTOS DE TIERRA</v>
      </c>
      <c r="C26" s="89" t="str">
        <f>IF(LOOKUP(M26,PPTO!$J$8:$J$269,PPTO!D$8:D$269)=0," ",LOOKUP(M26,PPTO!$J$8:$J$269,PPTO!D$8:D$269))</f>
        <v xml:space="preserve"> </v>
      </c>
      <c r="D26" s="90" t="str">
        <f>IF(LOOKUP(M26,PPTO!$J$8:$J$269,PPTO!E$8:E$269)=0," ",LOOKUP(M26,PPTO!$J$8:$J$269,PPTO!E$8:E$269))</f>
        <v xml:space="preserve"> </v>
      </c>
      <c r="E26" s="90" t="str">
        <f>IF(LOOKUP(M26,PPTO!$J$8:$J$269,PPTO!F$8:F$269)=0," ",LOOKUP(M26,PPTO!$J$8:$J$269,PPTO!F$8:F$269))</f>
        <v xml:space="preserve"> </v>
      </c>
      <c r="F26" s="90" t="str">
        <f>IF(LOOKUP(M26,PPTO!$J$8:$J$269,PPTO!H$8:H$269)=0," ",LOOKUP(M26,PPTO!$J$8:$J$269,PPTO!H$8:H$269))</f>
        <v xml:space="preserve"> </v>
      </c>
      <c r="G26" s="178"/>
      <c r="H26" s="102"/>
      <c r="I26" s="174"/>
      <c r="J26" s="102"/>
      <c r="K26" s="102"/>
      <c r="L26" s="102"/>
      <c r="M26" s="108">
        <f t="shared" si="0"/>
        <v>10</v>
      </c>
    </row>
    <row r="27" spans="1:13">
      <c r="A27" s="87" t="str">
        <f>IF(LOOKUP(M27,PPTO!$J$8:$J$269,PPTO!A$8:A$269)=0," ",LOOKUP(M27,PPTO!$J$8:$J$269,PPTO!A$8:A$269))</f>
        <v>3.01</v>
      </c>
      <c r="B27" s="91" t="str">
        <f>IF(LOOKUP(M27,PPTO!$J$8:J$269,PPTO!B$8:B$269)=0," ",LOOKUP(M27,PPTO!$J$8:J$269,PPTO!B$8:B$269))</f>
        <v xml:space="preserve"> </v>
      </c>
      <c r="C27" s="89" t="str">
        <f>IF(LOOKUP(M27,PPTO!$J$8:$J$269,PPTO!D$8:D$269)=0," ",LOOKUP(M27,PPTO!$J$8:$J$269,PPTO!D$8:D$269))</f>
        <v>M3</v>
      </c>
      <c r="D27" s="90" t="str">
        <f>IF(LOOKUP(M27,PPTO!$J$8:$J$269,PPTO!E$8:E$269)=0," ",LOOKUP(M27,PPTO!$J$8:$J$269,PPTO!E$8:E$269))</f>
        <v xml:space="preserve"> </v>
      </c>
      <c r="E27" s="90" t="str">
        <f>IF(LOOKUP(M27,PPTO!$J$8:$J$269,PPTO!F$8:F$269)=0," ",LOOKUP(M27,PPTO!$J$8:$J$269,PPTO!F$8:F$269))</f>
        <v xml:space="preserve"> </v>
      </c>
      <c r="F27" s="90" t="str">
        <f>IF(LOOKUP(M27,PPTO!$J$8:$J$269,PPTO!H$8:H$269)=0," ",LOOKUP(M27,PPTO!$J$8:$J$269,PPTO!H$8:H$269))</f>
        <v xml:space="preserve"> </v>
      </c>
      <c r="G27" s="178">
        <v>243</v>
      </c>
      <c r="H27" s="102" t="e">
        <f t="shared" si="1"/>
        <v>#VALUE!</v>
      </c>
      <c r="I27" s="174">
        <v>0</v>
      </c>
      <c r="J27" s="102" t="e">
        <f t="shared" si="2"/>
        <v>#VALUE!</v>
      </c>
      <c r="K27" s="102" t="e">
        <f>I27+'ACTA PARCIAL No.8'!K27</f>
        <v>#REF!</v>
      </c>
      <c r="L27" s="102" t="e">
        <f t="shared" si="3"/>
        <v>#REF!</v>
      </c>
      <c r="M27" s="108">
        <f t="shared" si="0"/>
        <v>11</v>
      </c>
    </row>
    <row r="28" spans="1:13">
      <c r="A28" s="87" t="str">
        <f>IF(LOOKUP(M28,PPTO!$J$8:$J$269,PPTO!A$8:A$269)=0," ",LOOKUP(M28,PPTO!$J$8:$J$269,PPTO!A$8:A$269))</f>
        <v>3.02</v>
      </c>
      <c r="B28" s="91" t="str">
        <f>IF(LOOKUP(M28,PPTO!$J$8:J$269,PPTO!B$8:B$269)=0," ",LOOKUP(M28,PPTO!$J$8:J$269,PPTO!B$8:B$269))</f>
        <v xml:space="preserve"> </v>
      </c>
      <c r="C28" s="89" t="str">
        <f>IF(LOOKUP(M28,PPTO!$J$8:$J$269,PPTO!D$8:D$269)=0," ",LOOKUP(M28,PPTO!$J$8:$J$269,PPTO!D$8:D$269))</f>
        <v>M3</v>
      </c>
      <c r="D28" s="90" t="str">
        <f>IF(LOOKUP(M28,PPTO!$J$8:$J$269,PPTO!E$8:E$269)=0," ",LOOKUP(M28,PPTO!$J$8:$J$269,PPTO!E$8:E$269))</f>
        <v xml:space="preserve"> </v>
      </c>
      <c r="E28" s="90" t="str">
        <f>IF(LOOKUP(M28,PPTO!$J$8:$J$269,PPTO!F$8:F$269)=0," ",LOOKUP(M28,PPTO!$J$8:$J$269,PPTO!F$8:F$269))</f>
        <v xml:space="preserve"> </v>
      </c>
      <c r="F28" s="90" t="str">
        <f>IF(LOOKUP(M28,PPTO!$J$8:$J$269,PPTO!H$8:H$269)=0," ",LOOKUP(M28,PPTO!$J$8:$J$269,PPTO!H$8:H$269))</f>
        <v xml:space="preserve"> </v>
      </c>
      <c r="G28" s="178">
        <v>2018.33</v>
      </c>
      <c r="H28" s="102" t="e">
        <f t="shared" si="1"/>
        <v>#VALUE!</v>
      </c>
      <c r="I28" s="174">
        <v>0</v>
      </c>
      <c r="J28" s="102" t="e">
        <f t="shared" si="2"/>
        <v>#VALUE!</v>
      </c>
      <c r="K28" s="102" t="e">
        <f>I28+'ACTA PARCIAL No.8'!K28</f>
        <v>#REF!</v>
      </c>
      <c r="L28" s="102" t="e">
        <f t="shared" si="3"/>
        <v>#REF!</v>
      </c>
      <c r="M28" s="108">
        <f>M27+1</f>
        <v>12</v>
      </c>
    </row>
    <row r="29" spans="1:13">
      <c r="A29" s="87" t="str">
        <f>IF(LOOKUP(M29,PPTO!$J$8:$J$269,PPTO!A$8:A$269)=0," ",LOOKUP(M29,PPTO!$J$8:$J$269,PPTO!A$8:A$269))</f>
        <v>3.03</v>
      </c>
      <c r="B29" s="91" t="str">
        <f>IF(LOOKUP(M29,PPTO!$J$8:J$269,PPTO!B$8:B$269)=0," ",LOOKUP(M29,PPTO!$J$8:J$269,PPTO!B$8:B$269))</f>
        <v xml:space="preserve"> </v>
      </c>
      <c r="C29" s="89" t="str">
        <f>IF(LOOKUP(M29,PPTO!$J$8:$J$269,PPTO!D$8:D$269)=0," ",LOOKUP(M29,PPTO!$J$8:$J$269,PPTO!D$8:D$269))</f>
        <v>M3</v>
      </c>
      <c r="D29" s="90" t="str">
        <f>IF(LOOKUP(M29,PPTO!$J$8:$J$269,PPTO!E$8:E$269)=0," ",LOOKUP(M29,PPTO!$J$8:$J$269,PPTO!E$8:E$269))</f>
        <v xml:space="preserve"> </v>
      </c>
      <c r="E29" s="90" t="str">
        <f>IF(LOOKUP(M29,PPTO!$J$8:$J$269,PPTO!F$8:F$269)=0," ",LOOKUP(M29,PPTO!$J$8:$J$269,PPTO!F$8:F$269))</f>
        <v xml:space="preserve"> </v>
      </c>
      <c r="F29" s="90" t="str">
        <f>IF(LOOKUP(M29,PPTO!$J$8:$J$269,PPTO!H$8:H$269)=0," ",LOOKUP(M29,PPTO!$J$8:$J$269,PPTO!H$8:H$269))</f>
        <v xml:space="preserve"> </v>
      </c>
      <c r="G29" s="178">
        <v>1587.38</v>
      </c>
      <c r="H29" s="102" t="e">
        <f t="shared" si="1"/>
        <v>#VALUE!</v>
      </c>
      <c r="I29" s="174">
        <v>0</v>
      </c>
      <c r="J29" s="102" t="e">
        <f t="shared" si="2"/>
        <v>#VALUE!</v>
      </c>
      <c r="K29" s="102" t="e">
        <f>I29+'ACTA PARCIAL No.8'!K29</f>
        <v>#REF!</v>
      </c>
      <c r="L29" s="102" t="e">
        <f t="shared" si="3"/>
        <v>#REF!</v>
      </c>
      <c r="M29" s="108">
        <f>M28+1</f>
        <v>13</v>
      </c>
    </row>
    <row r="30" spans="1:13">
      <c r="A30" s="87" t="str">
        <f>IF(LOOKUP(M30,PPTO!$J$8:$J$269,PPTO!A$8:A$269)=0," ",LOOKUP(M30,PPTO!$J$8:$J$269,PPTO!A$8:A$269))</f>
        <v>3.04</v>
      </c>
      <c r="B30" s="91" t="str">
        <f>IF(LOOKUP(M30,PPTO!$J$8:J$269,PPTO!B$8:B$269)=0," ",LOOKUP(M30,PPTO!$J$8:J$269,PPTO!B$8:B$269))</f>
        <v xml:space="preserve"> </v>
      </c>
      <c r="C30" s="89" t="str">
        <f>IF(LOOKUP(M30,PPTO!$J$8:$J$269,PPTO!D$8:D$269)=0," ",LOOKUP(M30,PPTO!$J$8:$J$269,PPTO!D$8:D$269))</f>
        <v>M3</v>
      </c>
      <c r="D30" s="90" t="str">
        <f>IF(LOOKUP(M30,PPTO!$J$8:$J$269,PPTO!E$8:E$269)=0," ",LOOKUP(M30,PPTO!$J$8:$J$269,PPTO!E$8:E$269))</f>
        <v xml:space="preserve"> </v>
      </c>
      <c r="E30" s="90" t="str">
        <f>IF(LOOKUP(M30,PPTO!$J$8:$J$269,PPTO!F$8:F$269)=0," ",LOOKUP(M30,PPTO!$J$8:$J$269,PPTO!F$8:F$269))</f>
        <v xml:space="preserve"> </v>
      </c>
      <c r="F30" s="90" t="str">
        <f>IF(LOOKUP(M30,PPTO!$J$8:$J$269,PPTO!H$8:H$269)=0," ",LOOKUP(M30,PPTO!$J$8:$J$269,PPTO!H$8:H$269))</f>
        <v xml:space="preserve"> </v>
      </c>
      <c r="G30" s="178">
        <v>21041</v>
      </c>
      <c r="H30" s="102" t="e">
        <f t="shared" si="1"/>
        <v>#VALUE!</v>
      </c>
      <c r="I30" s="174">
        <v>0</v>
      </c>
      <c r="J30" s="102" t="e">
        <f t="shared" si="2"/>
        <v>#VALUE!</v>
      </c>
      <c r="K30" s="102" t="e">
        <f>I30+'ACTA PARCIAL No.8'!K30</f>
        <v>#REF!</v>
      </c>
      <c r="L30" s="102" t="e">
        <f t="shared" si="3"/>
        <v>#REF!</v>
      </c>
      <c r="M30" s="108">
        <f t="shared" si="0"/>
        <v>14</v>
      </c>
    </row>
    <row r="31" spans="1:13">
      <c r="A31" s="87" t="str">
        <f>IF(LOOKUP(M31,PPTO!$J$8:$J$269,PPTO!A$8:A$269)=0," ",LOOKUP(M31,PPTO!$J$8:$J$269,PPTO!A$8:A$269))</f>
        <v>3.05</v>
      </c>
      <c r="B31" s="91" t="str">
        <f>IF(LOOKUP(M31,PPTO!$J$8:J$269,PPTO!B$8:B$269)=0," ",LOOKUP(M31,PPTO!$J$8:J$269,PPTO!B$8:B$269))</f>
        <v xml:space="preserve"> </v>
      </c>
      <c r="C31" s="89" t="str">
        <f>IF(LOOKUP(M31,PPTO!$J$8:$J$269,PPTO!D$8:D$269)=0," ",LOOKUP(M31,PPTO!$J$8:$J$269,PPTO!D$8:D$269))</f>
        <v>M3</v>
      </c>
      <c r="D31" s="90" t="str">
        <f>IF(LOOKUP(M31,PPTO!$J$8:$J$269,PPTO!E$8:E$269)=0," ",LOOKUP(M31,PPTO!$J$8:$J$269,PPTO!E$8:E$269))</f>
        <v xml:space="preserve"> </v>
      </c>
      <c r="E31" s="90" t="str">
        <f>IF(LOOKUP(M31,PPTO!$J$8:$J$269,PPTO!F$8:F$269)=0," ",LOOKUP(M31,PPTO!$J$8:$J$269,PPTO!F$8:F$269))</f>
        <v xml:space="preserve"> </v>
      </c>
      <c r="F31" s="90" t="str">
        <f>IF(LOOKUP(M31,PPTO!$J$8:$J$269,PPTO!H$8:H$269)=0," ",LOOKUP(M31,PPTO!$J$8:$J$269,PPTO!H$8:H$269))</f>
        <v xml:space="preserve"> </v>
      </c>
      <c r="G31" s="178">
        <v>936.85</v>
      </c>
      <c r="H31" s="102" t="e">
        <f t="shared" si="1"/>
        <v>#VALUE!</v>
      </c>
      <c r="I31" s="174">
        <v>0</v>
      </c>
      <c r="J31" s="102" t="e">
        <f t="shared" si="2"/>
        <v>#VALUE!</v>
      </c>
      <c r="K31" s="102" t="e">
        <f>I31+'ACTA PARCIAL No.8'!K31</f>
        <v>#REF!</v>
      </c>
      <c r="L31" s="102" t="e">
        <f t="shared" si="3"/>
        <v>#REF!</v>
      </c>
      <c r="M31" s="108">
        <f t="shared" si="0"/>
        <v>15</v>
      </c>
    </row>
    <row r="32" spans="1:13">
      <c r="A32" s="87" t="str">
        <f>IF(LOOKUP(M32,PPTO!$J$8:$J$269,PPTO!A$8:A$269)=0," ",LOOKUP(M32,PPTO!$J$8:$J$269,PPTO!A$8:A$269))</f>
        <v>3.06</v>
      </c>
      <c r="B32" s="91" t="str">
        <f>IF(LOOKUP(M32,PPTO!$J$8:J$269,PPTO!B$8:B$269)=0," ",LOOKUP(M32,PPTO!$J$8:J$269,PPTO!B$8:B$269))</f>
        <v xml:space="preserve"> </v>
      </c>
      <c r="C32" s="89" t="str">
        <f>IF(LOOKUP(M32,PPTO!$J$8:$J$269,PPTO!D$8:D$269)=0," ",LOOKUP(M32,PPTO!$J$8:$J$269,PPTO!D$8:D$269))</f>
        <v>M3</v>
      </c>
      <c r="D32" s="90" t="str">
        <f>IF(LOOKUP(M32,PPTO!$J$8:$J$269,PPTO!E$8:E$269)=0," ",LOOKUP(M32,PPTO!$J$8:$J$269,PPTO!E$8:E$269))</f>
        <v xml:space="preserve"> </v>
      </c>
      <c r="E32" s="90" t="str">
        <f>IF(LOOKUP(M32,PPTO!$J$8:$J$269,PPTO!F$8:F$269)=0," ",LOOKUP(M32,PPTO!$J$8:$J$269,PPTO!F$8:F$269))</f>
        <v xml:space="preserve"> </v>
      </c>
      <c r="F32" s="90" t="str">
        <f>IF(LOOKUP(M32,PPTO!$J$8:$J$269,PPTO!H$8:H$269)=0," ",LOOKUP(M32,PPTO!$J$8:$J$269,PPTO!H$8:H$269))</f>
        <v xml:space="preserve"> </v>
      </c>
      <c r="G32" s="178">
        <v>2018.33</v>
      </c>
      <c r="H32" s="102" t="e">
        <f t="shared" si="1"/>
        <v>#VALUE!</v>
      </c>
      <c r="I32" s="174">
        <v>0</v>
      </c>
      <c r="J32" s="102" t="e">
        <f t="shared" si="2"/>
        <v>#VALUE!</v>
      </c>
      <c r="K32" s="102" t="e">
        <f>I32+'ACTA PARCIAL No.8'!K32</f>
        <v>#REF!</v>
      </c>
      <c r="L32" s="102" t="e">
        <f t="shared" si="3"/>
        <v>#REF!</v>
      </c>
      <c r="M32" s="108">
        <f t="shared" si="0"/>
        <v>16</v>
      </c>
    </row>
    <row r="33" spans="1:13">
      <c r="A33" s="87" t="str">
        <f>IF(LOOKUP(M33,PPTO!$J$8:$J$269,PPTO!A$8:A$269)=0," ",LOOKUP(M33,PPTO!$J$8:$J$269,PPTO!A$8:A$269))</f>
        <v>3.07</v>
      </c>
      <c r="B33" s="91" t="str">
        <f>IF(LOOKUP(M33,PPTO!$J$8:J$269,PPTO!B$8:B$269)=0," ",LOOKUP(M33,PPTO!$J$8:J$269,PPTO!B$8:B$269))</f>
        <v xml:space="preserve"> </v>
      </c>
      <c r="C33" s="89" t="str">
        <f>IF(LOOKUP(M33,PPTO!$J$8:$J$269,PPTO!D$8:D$269)=0," ",LOOKUP(M33,PPTO!$J$8:$J$269,PPTO!D$8:D$269))</f>
        <v>M3</v>
      </c>
      <c r="D33" s="90" t="str">
        <f>IF(LOOKUP(M33,PPTO!$J$8:$J$269,PPTO!E$8:E$269)=0," ",LOOKUP(M33,PPTO!$J$8:$J$269,PPTO!E$8:E$269))</f>
        <v xml:space="preserve"> </v>
      </c>
      <c r="E33" s="90" t="str">
        <f>IF(LOOKUP(M33,PPTO!$J$8:$J$269,PPTO!F$8:F$269)=0," ",LOOKUP(M33,PPTO!$J$8:$J$269,PPTO!F$8:F$269))</f>
        <v xml:space="preserve"> </v>
      </c>
      <c r="F33" s="90" t="str">
        <f>IF(LOOKUP(M33,PPTO!$J$8:$J$269,PPTO!H$8:H$269)=0," ",LOOKUP(M33,PPTO!$J$8:$J$269,PPTO!H$8:H$269))</f>
        <v xml:space="preserve"> </v>
      </c>
      <c r="G33" s="178">
        <v>1587.38</v>
      </c>
      <c r="H33" s="102" t="e">
        <f t="shared" si="1"/>
        <v>#VALUE!</v>
      </c>
      <c r="I33" s="174">
        <v>0</v>
      </c>
      <c r="J33" s="102" t="e">
        <f t="shared" si="2"/>
        <v>#VALUE!</v>
      </c>
      <c r="K33" s="102" t="e">
        <f>I33+'ACTA PARCIAL No.8'!K33</f>
        <v>#REF!</v>
      </c>
      <c r="L33" s="102" t="e">
        <f t="shared" si="3"/>
        <v>#REF!</v>
      </c>
      <c r="M33" s="108">
        <f t="shared" si="0"/>
        <v>17</v>
      </c>
    </row>
    <row r="34" spans="1:13">
      <c r="A34" s="87" t="str">
        <f>IF(LOOKUP(M34,PPTO!$J$8:$J$269,PPTO!A$8:A$269)=0," ",LOOKUP(M34,PPTO!$J$8:$J$269,PPTO!A$8:A$269))</f>
        <v>3.08</v>
      </c>
      <c r="B34" s="91" t="str">
        <f>IF(LOOKUP(M34,PPTO!$J$8:J$269,PPTO!B$8:B$269)=0," ",LOOKUP(M34,PPTO!$J$8:J$269,PPTO!B$8:B$269))</f>
        <v xml:space="preserve"> </v>
      </c>
      <c r="C34" s="89" t="str">
        <f>IF(LOOKUP(M34,PPTO!$J$8:$J$269,PPTO!D$8:D$269)=0," ",LOOKUP(M34,PPTO!$J$8:$J$269,PPTO!D$8:D$269))</f>
        <v>M2</v>
      </c>
      <c r="D34" s="90" t="str">
        <f>IF(LOOKUP(M34,PPTO!$J$8:$J$269,PPTO!E$8:E$269)=0," ",LOOKUP(M34,PPTO!$J$8:$J$269,PPTO!E$8:E$269))</f>
        <v xml:space="preserve"> </v>
      </c>
      <c r="E34" s="90" t="str">
        <f>IF(LOOKUP(M34,PPTO!$J$8:$J$269,PPTO!F$8:F$269)=0," ",LOOKUP(M34,PPTO!$J$8:$J$269,PPTO!F$8:F$269))</f>
        <v xml:space="preserve"> </v>
      </c>
      <c r="F34" s="90" t="str">
        <f>IF(LOOKUP(M34,PPTO!$J$8:$J$269,PPTO!H$8:H$269)=0," ",LOOKUP(M34,PPTO!$J$8:$J$269,PPTO!H$8:H$269))</f>
        <v xml:space="preserve"> </v>
      </c>
      <c r="G34" s="178">
        <v>10500</v>
      </c>
      <c r="H34" s="102" t="e">
        <f t="shared" si="1"/>
        <v>#VALUE!</v>
      </c>
      <c r="I34" s="174">
        <v>0</v>
      </c>
      <c r="J34" s="102" t="e">
        <f t="shared" si="2"/>
        <v>#VALUE!</v>
      </c>
      <c r="K34" s="102" t="e">
        <f>I34+'ACTA PARCIAL No.8'!K34</f>
        <v>#REF!</v>
      </c>
      <c r="L34" s="102" t="e">
        <f t="shared" si="3"/>
        <v>#REF!</v>
      </c>
      <c r="M34" s="108">
        <f t="shared" si="0"/>
        <v>18</v>
      </c>
    </row>
    <row r="35" spans="1:13">
      <c r="A35" s="87" t="str">
        <f>IF(LOOKUP(M35,PPTO!$J$8:$J$269,PPTO!A$8:A$269)=0," ",LOOKUP(M35,PPTO!$J$8:$J$269,PPTO!A$8:A$269))</f>
        <v>3.09</v>
      </c>
      <c r="B35" s="91" t="str">
        <f>IF(LOOKUP(M35,PPTO!$J$8:J$269,PPTO!B$8:B$269)=0," ",LOOKUP(M35,PPTO!$J$8:J$269,PPTO!B$8:B$269))</f>
        <v xml:space="preserve"> </v>
      </c>
      <c r="C35" s="89" t="str">
        <f>IF(LOOKUP(M35,PPTO!$J$8:$J$269,PPTO!D$8:D$269)=0," ",LOOKUP(M35,PPTO!$J$8:$J$269,PPTO!D$8:D$269))</f>
        <v>UND</v>
      </c>
      <c r="D35" s="90" t="str">
        <f>IF(LOOKUP(M35,PPTO!$J$8:$J$269,PPTO!E$8:E$269)=0," ",LOOKUP(M35,PPTO!$J$8:$J$269,PPTO!E$8:E$269))</f>
        <v xml:space="preserve"> </v>
      </c>
      <c r="E35" s="90" t="str">
        <f>IF(LOOKUP(M35,PPTO!$J$8:$J$269,PPTO!F$8:F$269)=0," ",LOOKUP(M35,PPTO!$J$8:$J$269,PPTO!F$8:F$269))</f>
        <v xml:space="preserve"> </v>
      </c>
      <c r="F35" s="90" t="str">
        <f>IF(LOOKUP(M35,PPTO!$J$8:$J$269,PPTO!H$8:H$269)=0," ",LOOKUP(M35,PPTO!$J$8:$J$269,PPTO!H$8:H$269))</f>
        <v xml:space="preserve"> </v>
      </c>
      <c r="G35" s="178">
        <v>936.85</v>
      </c>
      <c r="H35" s="102" t="e">
        <f t="shared" si="1"/>
        <v>#VALUE!</v>
      </c>
      <c r="I35" s="174">
        <v>0</v>
      </c>
      <c r="J35" s="102" t="e">
        <f t="shared" si="2"/>
        <v>#VALUE!</v>
      </c>
      <c r="K35" s="102" t="e">
        <f>I35+'ACTA PARCIAL No.8'!K35</f>
        <v>#REF!</v>
      </c>
      <c r="L35" s="102" t="e">
        <f t="shared" si="3"/>
        <v>#REF!</v>
      </c>
      <c r="M35" s="108">
        <f t="shared" si="0"/>
        <v>19</v>
      </c>
    </row>
    <row r="36" spans="1:13">
      <c r="A36" s="87" t="str">
        <f>IF(LOOKUP(M36,PPTO!$J$8:$J$269,PPTO!A$8:A$269)=0," ",LOOKUP(M36,PPTO!$J$8:$J$269,PPTO!A$8:A$269))</f>
        <v>3.10</v>
      </c>
      <c r="B36" s="91" t="str">
        <f>IF(LOOKUP(M36,PPTO!$J$8:J$269,PPTO!B$8:B$269)=0," ",LOOKUP(M36,PPTO!$J$8:J$269,PPTO!B$8:B$269))</f>
        <v xml:space="preserve"> </v>
      </c>
      <c r="C36" s="89" t="str">
        <f>IF(LOOKUP(M36,PPTO!$J$8:$J$269,PPTO!D$8:D$269)=0," ",LOOKUP(M36,PPTO!$J$8:$J$269,PPTO!D$8:D$269))</f>
        <v>M3</v>
      </c>
      <c r="D36" s="90" t="str">
        <f>IF(LOOKUP(M36,PPTO!$J$8:$J$269,PPTO!E$8:E$269)=0," ",LOOKUP(M36,PPTO!$J$8:$J$269,PPTO!E$8:E$269))</f>
        <v xml:space="preserve"> </v>
      </c>
      <c r="E36" s="90" t="str">
        <f>IF(LOOKUP(M36,PPTO!$J$8:$J$269,PPTO!F$8:F$269)=0," ",LOOKUP(M36,PPTO!$J$8:$J$269,PPTO!F$8:F$269))</f>
        <v xml:space="preserve"> </v>
      </c>
      <c r="F36" s="90" t="str">
        <f>IF(LOOKUP(M36,PPTO!$J$8:$J$269,PPTO!H$8:H$269)=0," ",LOOKUP(M36,PPTO!$J$8:$J$269,PPTO!H$8:H$269))</f>
        <v xml:space="preserve"> </v>
      </c>
      <c r="G36" s="178">
        <v>2018.33</v>
      </c>
      <c r="H36" s="102" t="e">
        <f t="shared" si="1"/>
        <v>#VALUE!</v>
      </c>
      <c r="I36" s="174">
        <v>0</v>
      </c>
      <c r="J36" s="102" t="e">
        <f t="shared" si="2"/>
        <v>#VALUE!</v>
      </c>
      <c r="K36" s="102" t="e">
        <f>I36+'ACTA PARCIAL No.8'!K36</f>
        <v>#REF!</v>
      </c>
      <c r="L36" s="102" t="e">
        <f t="shared" si="3"/>
        <v>#REF!</v>
      </c>
      <c r="M36" s="108">
        <f t="shared" si="0"/>
        <v>20</v>
      </c>
    </row>
    <row r="37" spans="1:13">
      <c r="A37" s="87" t="str">
        <f>IF(LOOKUP(M37,PPTO!$J$8:$J$269,PPTO!A$8:A$269)=0," ",LOOKUP(M37,PPTO!$J$8:$J$269,PPTO!A$8:A$269))</f>
        <v>3.11</v>
      </c>
      <c r="B37" s="91" t="str">
        <f>IF(LOOKUP(M37,PPTO!$J$8:J$269,PPTO!B$8:B$269)=0," ",LOOKUP(M37,PPTO!$J$8:J$269,PPTO!B$8:B$269))</f>
        <v xml:space="preserve"> </v>
      </c>
      <c r="C37" s="89" t="str">
        <f>IF(LOOKUP(M37,PPTO!$J$8:$J$269,PPTO!D$8:D$269)=0," ",LOOKUP(M37,PPTO!$J$8:$J$269,PPTO!D$8:D$269))</f>
        <v>M3</v>
      </c>
      <c r="D37" s="90" t="str">
        <f>IF(LOOKUP(M37,PPTO!$J$8:$J$269,PPTO!E$8:E$269)=0," ",LOOKUP(M37,PPTO!$J$8:$J$269,PPTO!E$8:E$269))</f>
        <v xml:space="preserve"> </v>
      </c>
      <c r="E37" s="90" t="str">
        <f>IF(LOOKUP(M37,PPTO!$J$8:$J$269,PPTO!F$8:F$269)=0," ",LOOKUP(M37,PPTO!$J$8:$J$269,PPTO!F$8:F$269))</f>
        <v xml:space="preserve"> </v>
      </c>
      <c r="F37" s="90" t="str">
        <f>IF(LOOKUP(M37,PPTO!$J$8:$J$269,PPTO!H$8:H$269)=0," ",LOOKUP(M37,PPTO!$J$8:$J$269,PPTO!H$8:H$269))</f>
        <v xml:space="preserve"> </v>
      </c>
      <c r="G37" s="178">
        <v>18000</v>
      </c>
      <c r="H37" s="102" t="e">
        <f t="shared" si="1"/>
        <v>#VALUE!</v>
      </c>
      <c r="I37" s="174">
        <v>0</v>
      </c>
      <c r="J37" s="102" t="e">
        <f t="shared" si="2"/>
        <v>#VALUE!</v>
      </c>
      <c r="K37" s="102" t="e">
        <f>I37+'ACTA PARCIAL No.8'!K37</f>
        <v>#REF!</v>
      </c>
      <c r="L37" s="102" t="e">
        <f t="shared" si="3"/>
        <v>#REF!</v>
      </c>
      <c r="M37" s="108">
        <f t="shared" si="0"/>
        <v>21</v>
      </c>
    </row>
    <row r="38" spans="1:13">
      <c r="A38" s="87" t="str">
        <f>IF(LOOKUP(M38,PPTO!$J$8:$J$269,PPTO!A$8:A$269)=0," ",LOOKUP(M38,PPTO!$J$8:$J$269,PPTO!A$8:A$269))</f>
        <v>3.12</v>
      </c>
      <c r="B38" s="91" t="str">
        <f>IF(LOOKUP(M38,PPTO!$J$8:J$269,PPTO!B$8:B$269)=0," ",LOOKUP(M38,PPTO!$J$8:J$269,PPTO!B$8:B$269))</f>
        <v xml:space="preserve"> </v>
      </c>
      <c r="C38" s="89" t="str">
        <f>IF(LOOKUP(M38,PPTO!$J$8:$J$269,PPTO!D$8:D$269)=0," ",LOOKUP(M38,PPTO!$J$8:$J$269,PPTO!D$8:D$269))</f>
        <v>M3</v>
      </c>
      <c r="D38" s="90" t="str">
        <f>IF(LOOKUP(M38,PPTO!$J$8:$J$269,PPTO!E$8:E$269)=0," ",LOOKUP(M38,PPTO!$J$8:$J$269,PPTO!E$8:E$269))</f>
        <v xml:space="preserve"> </v>
      </c>
      <c r="E38" s="90" t="str">
        <f>IF(LOOKUP(M38,PPTO!$J$8:$J$269,PPTO!F$8:F$269)=0," ",LOOKUP(M38,PPTO!$J$8:$J$269,PPTO!F$8:F$269))</f>
        <v xml:space="preserve"> </v>
      </c>
      <c r="F38" s="90" t="str">
        <f>IF(LOOKUP(M38,PPTO!$J$8:$J$269,PPTO!H$8:H$269)=0," ",LOOKUP(M38,PPTO!$J$8:$J$269,PPTO!H$8:H$269))</f>
        <v xml:space="preserve"> </v>
      </c>
      <c r="G38" s="178">
        <v>3173.33</v>
      </c>
      <c r="H38" s="102" t="e">
        <f t="shared" si="1"/>
        <v>#VALUE!</v>
      </c>
      <c r="I38" s="174">
        <v>0</v>
      </c>
      <c r="J38" s="102" t="e">
        <f t="shared" si="2"/>
        <v>#VALUE!</v>
      </c>
      <c r="K38" s="102" t="e">
        <f>I38+'ACTA PARCIAL No.8'!K38</f>
        <v>#REF!</v>
      </c>
      <c r="L38" s="102" t="e">
        <f t="shared" si="3"/>
        <v>#REF!</v>
      </c>
      <c r="M38" s="108">
        <f t="shared" si="0"/>
        <v>22</v>
      </c>
    </row>
    <row r="39" spans="1:13">
      <c r="A39" s="87">
        <f>IF(LOOKUP(M39,PPTO!$J$8:$J$269,PPTO!A$8:A$269)=0," ",LOOKUP(M39,PPTO!$J$8:$J$269,PPTO!A$8:A$269))</f>
        <v>4</v>
      </c>
      <c r="B39" s="91" t="str">
        <f>IF(LOOKUP(M39,PPTO!$J$8:J$269,PPTO!B$8:B$269)=0," ",LOOKUP(M39,PPTO!$J$8:J$269,PPTO!B$8:B$269))</f>
        <v>TUBERIA DE ALCANTARILLADO</v>
      </c>
      <c r="C39" s="89" t="str">
        <f>IF(LOOKUP(M39,PPTO!$J$8:$J$269,PPTO!D$8:D$269)=0," ",LOOKUP(M39,PPTO!$J$8:$J$269,PPTO!D$8:D$269))</f>
        <v xml:space="preserve"> </v>
      </c>
      <c r="D39" s="90" t="str">
        <f>IF(LOOKUP(M39,PPTO!$J$8:$J$269,PPTO!E$8:E$269)=0," ",LOOKUP(M39,PPTO!$J$8:$J$269,PPTO!E$8:E$269))</f>
        <v xml:space="preserve"> </v>
      </c>
      <c r="E39" s="90" t="str">
        <f>IF(LOOKUP(M39,PPTO!$J$8:$J$269,PPTO!F$8:F$269)=0," ",LOOKUP(M39,PPTO!$J$8:$J$269,PPTO!F$8:F$269))</f>
        <v xml:space="preserve"> </v>
      </c>
      <c r="F39" s="90" t="str">
        <f>IF(LOOKUP(M39,PPTO!$J$8:$J$269,PPTO!H$8:H$269)=0," ",LOOKUP(M39,PPTO!$J$8:$J$269,PPTO!H$8:H$269))</f>
        <v xml:space="preserve"> </v>
      </c>
      <c r="G39" s="178"/>
      <c r="H39" s="102"/>
      <c r="I39" s="174"/>
      <c r="J39" s="102"/>
      <c r="K39" s="102"/>
      <c r="L39" s="102"/>
      <c r="M39" s="108">
        <f t="shared" si="0"/>
        <v>23</v>
      </c>
    </row>
    <row r="40" spans="1:13">
      <c r="A40" s="87" t="str">
        <f>IF(LOOKUP(M40,PPTO!$J$8:$J$269,PPTO!A$8:A$269)=0," ",LOOKUP(M40,PPTO!$J$8:$J$269,PPTO!A$8:A$269))</f>
        <v>4.01</v>
      </c>
      <c r="B40" s="91" t="str">
        <f>IF(LOOKUP(M40,PPTO!$J$8:J$269,PPTO!B$8:B$269)=0," ",LOOKUP(M40,PPTO!$J$8:J$269,PPTO!B$8:B$269))</f>
        <v xml:space="preserve"> </v>
      </c>
      <c r="C40" s="89" t="str">
        <f>IF(LOOKUP(M40,PPTO!$J$8:$J$269,PPTO!D$8:D$269)=0," ",LOOKUP(M40,PPTO!$J$8:$J$269,PPTO!D$8:D$269))</f>
        <v>ML</v>
      </c>
      <c r="D40" s="90" t="str">
        <f>IF(LOOKUP(M40,PPTO!$J$8:$J$269,PPTO!E$8:E$269)=0," ",LOOKUP(M40,PPTO!$J$8:$J$269,PPTO!E$8:E$269))</f>
        <v xml:space="preserve"> </v>
      </c>
      <c r="E40" s="90" t="str">
        <f>IF(LOOKUP(M40,PPTO!$J$8:$J$269,PPTO!F$8:F$269)=0," ",LOOKUP(M40,PPTO!$J$8:$J$269,PPTO!F$8:F$269))</f>
        <v xml:space="preserve"> </v>
      </c>
      <c r="F40" s="90" t="str">
        <f>IF(LOOKUP(M40,PPTO!$J$8:$J$269,PPTO!H$8:H$269)=0," ",LOOKUP(M40,PPTO!$J$8:$J$269,PPTO!H$8:H$269))</f>
        <v xml:space="preserve"> </v>
      </c>
      <c r="G40" s="178">
        <v>7554</v>
      </c>
      <c r="H40" s="102" t="e">
        <f t="shared" si="1"/>
        <v>#VALUE!</v>
      </c>
      <c r="I40" s="174">
        <v>0</v>
      </c>
      <c r="J40" s="102" t="e">
        <f t="shared" si="2"/>
        <v>#VALUE!</v>
      </c>
      <c r="K40" s="102" t="e">
        <f>I40+'ACTA PARCIAL No.8'!K40</f>
        <v>#REF!</v>
      </c>
      <c r="L40" s="102" t="e">
        <f t="shared" si="3"/>
        <v>#REF!</v>
      </c>
      <c r="M40" s="108">
        <f t="shared" si="0"/>
        <v>24</v>
      </c>
    </row>
    <row r="41" spans="1:13">
      <c r="A41" s="87" t="str">
        <f>IF(LOOKUP(M41,PPTO!$J$8:$J$269,PPTO!A$8:A$269)=0," ",LOOKUP(M41,PPTO!$J$8:$J$269,PPTO!A$8:A$269))</f>
        <v>4.02</v>
      </c>
      <c r="B41" s="91" t="str">
        <f>IF(LOOKUP(M41,PPTO!$J$8:J$269,PPTO!B$8:B$269)=0," ",LOOKUP(M41,PPTO!$J$8:J$269,PPTO!B$8:B$269))</f>
        <v xml:space="preserve"> </v>
      </c>
      <c r="C41" s="89" t="str">
        <f>IF(LOOKUP(M41,PPTO!$J$8:$J$269,PPTO!D$8:D$269)=0," ",LOOKUP(M41,PPTO!$J$8:$J$269,PPTO!D$8:D$269))</f>
        <v>ML</v>
      </c>
      <c r="D41" s="90" t="str">
        <f>IF(LOOKUP(M41,PPTO!$J$8:$J$269,PPTO!E$8:E$269)=0," ",LOOKUP(M41,PPTO!$J$8:$J$269,PPTO!E$8:E$269))</f>
        <v xml:space="preserve"> </v>
      </c>
      <c r="E41" s="90" t="str">
        <f>IF(LOOKUP(M41,PPTO!$J$8:$J$269,PPTO!F$8:F$269)=0," ",LOOKUP(M41,PPTO!$J$8:$J$269,PPTO!F$8:F$269))</f>
        <v xml:space="preserve"> </v>
      </c>
      <c r="F41" s="90" t="str">
        <f>IF(LOOKUP(M41,PPTO!$J$8:$J$269,PPTO!H$8:H$269)=0," ",LOOKUP(M41,PPTO!$J$8:$J$269,PPTO!H$8:H$269))</f>
        <v xml:space="preserve"> </v>
      </c>
      <c r="G41" s="178">
        <v>10629.07</v>
      </c>
      <c r="H41" s="102" t="e">
        <f t="shared" si="1"/>
        <v>#VALUE!</v>
      </c>
      <c r="I41" s="174">
        <v>0</v>
      </c>
      <c r="J41" s="102" t="e">
        <f t="shared" si="2"/>
        <v>#VALUE!</v>
      </c>
      <c r="K41" s="102" t="e">
        <f>I41+'ACTA PARCIAL No.8'!K41</f>
        <v>#REF!</v>
      </c>
      <c r="L41" s="102" t="e">
        <f t="shared" si="3"/>
        <v>#REF!</v>
      </c>
      <c r="M41" s="108">
        <f t="shared" si="0"/>
        <v>25</v>
      </c>
    </row>
    <row r="42" spans="1:13">
      <c r="A42" s="87" t="str">
        <f>IF(LOOKUP(M42,PPTO!$J$8:$J$269,PPTO!A$8:A$269)=0," ",LOOKUP(M42,PPTO!$J$8:$J$269,PPTO!A$8:A$269))</f>
        <v>4.03</v>
      </c>
      <c r="B42" s="91" t="str">
        <f>IF(LOOKUP(M42,PPTO!$J$8:J$269,PPTO!B$8:B$269)=0," ",LOOKUP(M42,PPTO!$J$8:J$269,PPTO!B$8:B$269))</f>
        <v xml:space="preserve"> </v>
      </c>
      <c r="C42" s="89" t="str">
        <f>IF(LOOKUP(M42,PPTO!$J$8:$J$269,PPTO!D$8:D$269)=0," ",LOOKUP(M42,PPTO!$J$8:$J$269,PPTO!D$8:D$269))</f>
        <v>ML</v>
      </c>
      <c r="D42" s="90" t="str">
        <f>IF(LOOKUP(M42,PPTO!$J$8:$J$269,PPTO!E$8:E$269)=0," ",LOOKUP(M42,PPTO!$J$8:$J$269,PPTO!E$8:E$269))</f>
        <v xml:space="preserve"> </v>
      </c>
      <c r="E42" s="90" t="str">
        <f>IF(LOOKUP(M42,PPTO!$J$8:$J$269,PPTO!F$8:F$269)=0," ",LOOKUP(M42,PPTO!$J$8:$J$269,PPTO!F$8:F$269))</f>
        <v xml:space="preserve"> </v>
      </c>
      <c r="F42" s="90" t="str">
        <f>IF(LOOKUP(M42,PPTO!$J$8:$J$269,PPTO!H$8:H$269)=0," ",LOOKUP(M42,PPTO!$J$8:$J$269,PPTO!H$8:H$269))</f>
        <v xml:space="preserve"> </v>
      </c>
      <c r="G42" s="178">
        <v>119.02</v>
      </c>
      <c r="H42" s="102" t="e">
        <f t="shared" si="1"/>
        <v>#VALUE!</v>
      </c>
      <c r="I42" s="174">
        <v>0.02</v>
      </c>
      <c r="J42" s="102" t="e">
        <f t="shared" si="2"/>
        <v>#VALUE!</v>
      </c>
      <c r="K42" s="102" t="e">
        <f>I42+'ACTA PARCIAL No.8'!K42</f>
        <v>#REF!</v>
      </c>
      <c r="L42" s="102" t="e">
        <f t="shared" si="3"/>
        <v>#REF!</v>
      </c>
      <c r="M42" s="108">
        <f t="shared" si="0"/>
        <v>26</v>
      </c>
    </row>
    <row r="43" spans="1:13">
      <c r="A43" s="87" t="str">
        <f>IF(LOOKUP(M43,PPTO!$J$8:$J$269,PPTO!A$8:A$269)=0," ",LOOKUP(M43,PPTO!$J$8:$J$269,PPTO!A$8:A$269))</f>
        <v>4.04</v>
      </c>
      <c r="B43" s="91" t="str">
        <f>IF(LOOKUP(M43,PPTO!$J$8:J$269,PPTO!B$8:B$269)=0," ",LOOKUP(M43,PPTO!$J$8:J$269,PPTO!B$8:B$269))</f>
        <v xml:space="preserve"> </v>
      </c>
      <c r="C43" s="89" t="str">
        <f>IF(LOOKUP(M43,PPTO!$J$8:$J$269,PPTO!D$8:D$269)=0," ",LOOKUP(M43,PPTO!$J$8:$J$269,PPTO!D$8:D$269))</f>
        <v>ML</v>
      </c>
      <c r="D43" s="90" t="str">
        <f>IF(LOOKUP(M43,PPTO!$J$8:$J$269,PPTO!E$8:E$269)=0," ",LOOKUP(M43,PPTO!$J$8:$J$269,PPTO!E$8:E$269))</f>
        <v xml:space="preserve"> </v>
      </c>
      <c r="E43" s="90" t="str">
        <f>IF(LOOKUP(M43,PPTO!$J$8:$J$269,PPTO!F$8:F$269)=0," ",LOOKUP(M43,PPTO!$J$8:$J$269,PPTO!F$8:F$269))</f>
        <v xml:space="preserve"> </v>
      </c>
      <c r="F43" s="90" t="str">
        <f>IF(LOOKUP(M43,PPTO!$J$8:$J$269,PPTO!H$8:H$269)=0," ",LOOKUP(M43,PPTO!$J$8:$J$269,PPTO!H$8:H$269))</f>
        <v xml:space="preserve"> </v>
      </c>
      <c r="G43" s="178">
        <v>293.73</v>
      </c>
      <c r="H43" s="102" t="e">
        <f t="shared" si="1"/>
        <v>#VALUE!</v>
      </c>
      <c r="I43" s="174">
        <v>3.73</v>
      </c>
      <c r="J43" s="102" t="e">
        <f t="shared" si="2"/>
        <v>#VALUE!</v>
      </c>
      <c r="K43" s="102" t="e">
        <f>I43+'ACTA PARCIAL No.8'!K43</f>
        <v>#REF!</v>
      </c>
      <c r="L43" s="102" t="e">
        <f t="shared" si="3"/>
        <v>#REF!</v>
      </c>
      <c r="M43" s="108">
        <f t="shared" si="0"/>
        <v>27</v>
      </c>
    </row>
    <row r="44" spans="1:13">
      <c r="A44" s="87" t="str">
        <f>IF(LOOKUP(M44,PPTO!$J$8:$J$269,PPTO!A$8:A$269)=0," ",LOOKUP(M44,PPTO!$J$8:$J$269,PPTO!A$8:A$269))</f>
        <v>4.05</v>
      </c>
      <c r="B44" s="91" t="str">
        <f>IF(LOOKUP(M44,PPTO!$J$8:J$269,PPTO!B$8:B$269)=0," ",LOOKUP(M44,PPTO!$J$8:J$269,PPTO!B$8:B$269))</f>
        <v xml:space="preserve"> </v>
      </c>
      <c r="C44" s="89" t="str">
        <f>IF(LOOKUP(M44,PPTO!$J$8:$J$269,PPTO!D$8:D$269)=0," ",LOOKUP(M44,PPTO!$J$8:$J$269,PPTO!D$8:D$269))</f>
        <v>ML</v>
      </c>
      <c r="D44" s="90" t="str">
        <f>IF(LOOKUP(M44,PPTO!$J$8:$J$269,PPTO!E$8:E$269)=0," ",LOOKUP(M44,PPTO!$J$8:$J$269,PPTO!E$8:E$269))</f>
        <v xml:space="preserve"> </v>
      </c>
      <c r="E44" s="90" t="str">
        <f>IF(LOOKUP(M44,PPTO!$J$8:$J$269,PPTO!F$8:F$269)=0," ",LOOKUP(M44,PPTO!$J$8:$J$269,PPTO!F$8:F$269))</f>
        <v xml:space="preserve"> </v>
      </c>
      <c r="F44" s="90" t="str">
        <f>IF(LOOKUP(M44,PPTO!$J$8:$J$269,PPTO!H$8:H$269)=0," ",LOOKUP(M44,PPTO!$J$8:$J$269,PPTO!H$8:H$269))</f>
        <v xml:space="preserve"> </v>
      </c>
      <c r="G44" s="178">
        <v>912.33</v>
      </c>
      <c r="H44" s="102" t="e">
        <f t="shared" si="1"/>
        <v>#VALUE!</v>
      </c>
      <c r="I44" s="174">
        <v>0</v>
      </c>
      <c r="J44" s="102" t="e">
        <f t="shared" si="2"/>
        <v>#VALUE!</v>
      </c>
      <c r="K44" s="102" t="e">
        <f>I44+'ACTA PARCIAL No.8'!K44</f>
        <v>#REF!</v>
      </c>
      <c r="L44" s="102" t="e">
        <f t="shared" si="3"/>
        <v>#REF!</v>
      </c>
      <c r="M44" s="108">
        <f t="shared" si="0"/>
        <v>28</v>
      </c>
    </row>
    <row r="45" spans="1:13">
      <c r="A45" s="87" t="str">
        <f>IF(LOOKUP(M45,PPTO!$J$8:$J$269,PPTO!A$8:A$269)=0," ",LOOKUP(M45,PPTO!$J$8:$J$269,PPTO!A$8:A$269))</f>
        <v>4.06</v>
      </c>
      <c r="B45" s="91" t="str">
        <f>IF(LOOKUP(M45,PPTO!$J$8:J$269,PPTO!B$8:B$269)=0," ",LOOKUP(M45,PPTO!$J$8:J$269,PPTO!B$8:B$269))</f>
        <v xml:space="preserve"> </v>
      </c>
      <c r="C45" s="89" t="str">
        <f>IF(LOOKUP(M45,PPTO!$J$8:$J$269,PPTO!D$8:D$269)=0," ",LOOKUP(M45,PPTO!$J$8:$J$269,PPTO!D$8:D$269))</f>
        <v>UND</v>
      </c>
      <c r="D45" s="90" t="str">
        <f>IF(LOOKUP(M45,PPTO!$J$8:$J$269,PPTO!E$8:E$269)=0," ",LOOKUP(M45,PPTO!$J$8:$J$269,PPTO!E$8:E$269))</f>
        <v xml:space="preserve"> </v>
      </c>
      <c r="E45" s="90" t="str">
        <f>IF(LOOKUP(M45,PPTO!$J$8:$J$269,PPTO!F$8:F$269)=0," ",LOOKUP(M45,PPTO!$J$8:$J$269,PPTO!F$8:F$269))</f>
        <v xml:space="preserve"> </v>
      </c>
      <c r="F45" s="90" t="str">
        <f>IF(LOOKUP(M45,PPTO!$J$8:$J$269,PPTO!H$8:H$269)=0," ",LOOKUP(M45,PPTO!$J$8:$J$269,PPTO!H$8:H$269))</f>
        <v xml:space="preserve"> </v>
      </c>
      <c r="G45" s="178">
        <v>1259</v>
      </c>
      <c r="H45" s="102" t="e">
        <f t="shared" si="1"/>
        <v>#VALUE!</v>
      </c>
      <c r="I45" s="174">
        <v>0</v>
      </c>
      <c r="J45" s="102" t="e">
        <f t="shared" si="2"/>
        <v>#VALUE!</v>
      </c>
      <c r="K45" s="102" t="e">
        <f>I45+'ACTA PARCIAL No.8'!K45</f>
        <v>#REF!</v>
      </c>
      <c r="L45" s="102" t="e">
        <f t="shared" si="3"/>
        <v>#REF!</v>
      </c>
      <c r="M45" s="108">
        <f t="shared" si="0"/>
        <v>29</v>
      </c>
    </row>
    <row r="46" spans="1:13">
      <c r="A46" s="87" t="str">
        <f>IF(LOOKUP(M46,PPTO!$J$8:$J$269,PPTO!A$8:A$269)=0," ",LOOKUP(M46,PPTO!$J$8:$J$269,PPTO!A$8:A$269))</f>
        <v>4.09</v>
      </c>
      <c r="B46" s="91" t="str">
        <f>IF(LOOKUP(M46,PPTO!$J$8:J$269,PPTO!B$8:B$269)=0," ",LOOKUP(M46,PPTO!$J$8:J$269,PPTO!B$8:B$269))</f>
        <v xml:space="preserve"> </v>
      </c>
      <c r="C46" s="89" t="str">
        <f>IF(LOOKUP(M46,PPTO!$J$8:$J$269,PPTO!D$8:D$269)=0," ",LOOKUP(M46,PPTO!$J$8:$J$269,PPTO!D$8:D$269))</f>
        <v>M3</v>
      </c>
      <c r="D46" s="90" t="str">
        <f>IF(LOOKUP(M46,PPTO!$J$8:$J$269,PPTO!E$8:E$269)=0," ",LOOKUP(M46,PPTO!$J$8:$J$269,PPTO!E$8:E$269))</f>
        <v xml:space="preserve"> </v>
      </c>
      <c r="E46" s="90" t="str">
        <f>IF(LOOKUP(M46,PPTO!$J$8:$J$269,PPTO!F$8:F$269)=0," ",LOOKUP(M46,PPTO!$J$8:$J$269,PPTO!F$8:F$269))</f>
        <v xml:space="preserve"> </v>
      </c>
      <c r="F46" s="90" t="str">
        <f>IF(LOOKUP(M46,PPTO!$J$8:$J$269,PPTO!H$8:H$269)=0," ",LOOKUP(M46,PPTO!$J$8:$J$269,PPTO!H$8:H$269))</f>
        <v xml:space="preserve"> </v>
      </c>
      <c r="G46" s="178">
        <v>453.24</v>
      </c>
      <c r="H46" s="102" t="e">
        <f t="shared" si="1"/>
        <v>#VALUE!</v>
      </c>
      <c r="I46" s="174">
        <v>0.24</v>
      </c>
      <c r="J46" s="102" t="e">
        <f t="shared" si="2"/>
        <v>#VALUE!</v>
      </c>
      <c r="K46" s="102" t="e">
        <f>I46+'ACTA PARCIAL No.8'!K46</f>
        <v>#REF!</v>
      </c>
      <c r="L46" s="102" t="e">
        <f t="shared" si="3"/>
        <v>#REF!</v>
      </c>
      <c r="M46" s="108">
        <f t="shared" si="0"/>
        <v>30</v>
      </c>
    </row>
    <row r="47" spans="1:13">
      <c r="A47" s="87" t="str">
        <f>IF(LOOKUP(M47,PPTO!$J$8:$J$269,PPTO!A$8:A$269)=0," ",LOOKUP(M47,PPTO!$J$8:$J$269,PPTO!A$8:A$269))</f>
        <v>4.10</v>
      </c>
      <c r="B47" s="91" t="str">
        <f>IF(LOOKUP(M47,PPTO!$J$8:J$269,PPTO!B$8:B$269)=0," ",LOOKUP(M47,PPTO!$J$8:J$269,PPTO!B$8:B$269))</f>
        <v xml:space="preserve"> </v>
      </c>
      <c r="C47" s="89" t="str">
        <f>IF(LOOKUP(M47,PPTO!$J$8:$J$269,PPTO!D$8:D$269)=0," ",LOOKUP(M47,PPTO!$J$8:$J$269,PPTO!D$8:D$269))</f>
        <v>M3</v>
      </c>
      <c r="D47" s="90" t="str">
        <f>IF(LOOKUP(M47,PPTO!$J$8:$J$269,PPTO!E$8:E$269)=0," ",LOOKUP(M47,PPTO!$J$8:$J$269,PPTO!E$8:E$269))</f>
        <v xml:space="preserve"> </v>
      </c>
      <c r="E47" s="90" t="str">
        <f>IF(LOOKUP(M47,PPTO!$J$8:$J$269,PPTO!F$8:F$269)=0," ",LOOKUP(M47,PPTO!$J$8:$J$269,PPTO!F$8:F$269))</f>
        <v xml:space="preserve"> </v>
      </c>
      <c r="F47" s="90" t="str">
        <f>IF(LOOKUP(M47,PPTO!$J$8:$J$269,PPTO!H$8:H$269)=0," ",LOOKUP(M47,PPTO!$J$8:$J$269,PPTO!H$8:H$269))</f>
        <v xml:space="preserve"> </v>
      </c>
      <c r="G47" s="178">
        <v>2381.3200000000002</v>
      </c>
      <c r="H47" s="102" t="e">
        <f t="shared" si="1"/>
        <v>#VALUE!</v>
      </c>
      <c r="I47" s="174">
        <v>36.31</v>
      </c>
      <c r="J47" s="102" t="e">
        <f t="shared" si="2"/>
        <v>#VALUE!</v>
      </c>
      <c r="K47" s="102" t="e">
        <f>I47+'ACTA PARCIAL No.8'!K47</f>
        <v>#REF!</v>
      </c>
      <c r="L47" s="102" t="e">
        <f t="shared" si="3"/>
        <v>#REF!</v>
      </c>
      <c r="M47" s="108">
        <f t="shared" si="0"/>
        <v>31</v>
      </c>
    </row>
    <row r="48" spans="1:13">
      <c r="A48" s="87">
        <f>IF(LOOKUP(M48,PPTO!$J$8:$J$269,PPTO!A$8:A$269)=0," ",LOOKUP(M48,PPTO!$J$8:$J$269,PPTO!A$8:A$269))</f>
        <v>5</v>
      </c>
      <c r="B48" s="91" t="str">
        <f>IF(LOOKUP(M48,PPTO!$J$8:J$269,PPTO!B$8:B$269)=0," ",LOOKUP(M48,PPTO!$J$8:J$269,PPTO!B$8:B$269))</f>
        <v>ESTRUCTURAS SANITARIAS EN CONCRETO</v>
      </c>
      <c r="C48" s="89" t="str">
        <f>IF(LOOKUP(M48,PPTO!$J$8:$J$269,PPTO!D$8:D$269)=0," ",LOOKUP(M48,PPTO!$J$8:$J$269,PPTO!D$8:D$269))</f>
        <v xml:space="preserve"> </v>
      </c>
      <c r="D48" s="90" t="str">
        <f>IF(LOOKUP(M48,PPTO!$J$8:$J$269,PPTO!E$8:E$269)=0," ",LOOKUP(M48,PPTO!$J$8:$J$269,PPTO!E$8:E$269))</f>
        <v xml:space="preserve"> </v>
      </c>
      <c r="E48" s="90" t="str">
        <f>IF(LOOKUP(M48,PPTO!$J$8:$J$269,PPTO!F$8:F$269)=0," ",LOOKUP(M48,PPTO!$J$8:$J$269,PPTO!F$8:F$269))</f>
        <v xml:space="preserve"> </v>
      </c>
      <c r="F48" s="90" t="str">
        <f>IF(LOOKUP(M48,PPTO!$J$8:$J$269,PPTO!H$8:H$269)=0," ",LOOKUP(M48,PPTO!$J$8:$J$269,PPTO!H$8:H$269))</f>
        <v xml:space="preserve"> </v>
      </c>
      <c r="G48" s="178"/>
      <c r="H48" s="102"/>
      <c r="I48" s="174"/>
      <c r="J48" s="102"/>
      <c r="K48" s="102"/>
      <c r="L48" s="102"/>
      <c r="M48" s="108">
        <f t="shared" si="0"/>
        <v>32</v>
      </c>
    </row>
    <row r="49" spans="1:13">
      <c r="A49" s="87" t="str">
        <f>IF(LOOKUP(M49,PPTO!$J$8:$J$269,PPTO!A$8:A$269)=0," ",LOOKUP(M49,PPTO!$J$8:$J$269,PPTO!A$8:A$269))</f>
        <v>5.01</v>
      </c>
      <c r="B49" s="91" t="str">
        <f>IF(LOOKUP(M49,PPTO!$J$8:J$269,PPTO!B$8:B$269)=0," ",LOOKUP(M49,PPTO!$J$8:J$269,PPTO!B$8:B$269))</f>
        <v xml:space="preserve"> </v>
      </c>
      <c r="C49" s="89" t="str">
        <f>IF(LOOKUP(M49,PPTO!$J$8:$J$269,PPTO!D$8:D$269)=0," ",LOOKUP(M49,PPTO!$J$8:$J$269,PPTO!D$8:D$269))</f>
        <v>M3</v>
      </c>
      <c r="D49" s="90" t="str">
        <f>IF(LOOKUP(M49,PPTO!$J$8:$J$269,PPTO!E$8:E$269)=0," ",LOOKUP(M49,PPTO!$J$8:$J$269,PPTO!E$8:E$269))</f>
        <v xml:space="preserve"> </v>
      </c>
      <c r="E49" s="90" t="str">
        <f>IF(LOOKUP(M49,PPTO!$J$8:$J$269,PPTO!F$8:F$269)=0," ",LOOKUP(M49,PPTO!$J$8:$J$269,PPTO!F$8:F$269))</f>
        <v xml:space="preserve"> </v>
      </c>
      <c r="F49" s="90" t="str">
        <f>IF(LOOKUP(M49,PPTO!$J$8:$J$269,PPTO!H$8:H$269)=0," ",LOOKUP(M49,PPTO!$J$8:$J$269,PPTO!H$8:H$269))</f>
        <v xml:space="preserve"> </v>
      </c>
      <c r="G49" s="178">
        <v>293.73</v>
      </c>
      <c r="H49" s="102" t="e">
        <f t="shared" si="1"/>
        <v>#VALUE!</v>
      </c>
      <c r="I49" s="174">
        <v>0.25</v>
      </c>
      <c r="J49" s="102" t="e">
        <f t="shared" si="2"/>
        <v>#VALUE!</v>
      </c>
      <c r="K49" s="102" t="e">
        <f>I49+'ACTA PARCIAL No.8'!K49</f>
        <v>#REF!</v>
      </c>
      <c r="L49" s="102" t="e">
        <f t="shared" si="3"/>
        <v>#REF!</v>
      </c>
      <c r="M49" s="108">
        <f t="shared" si="0"/>
        <v>33</v>
      </c>
    </row>
    <row r="50" spans="1:13">
      <c r="A50" s="87" t="str">
        <f>IF(LOOKUP(M50,PPTO!$J$8:$J$269,PPTO!A$8:A$269)=0," ",LOOKUP(M50,PPTO!$J$8:$J$269,PPTO!A$8:A$269))</f>
        <v>5.02</v>
      </c>
      <c r="B50" s="91" t="str">
        <f>IF(LOOKUP(M50,PPTO!$J$8:J$269,PPTO!B$8:B$269)=0," ",LOOKUP(M50,PPTO!$J$8:J$269,PPTO!B$8:B$269))</f>
        <v xml:space="preserve"> </v>
      </c>
      <c r="C50" s="89" t="str">
        <f>IF(LOOKUP(M50,PPTO!$J$8:$J$269,PPTO!D$8:D$269)=0," ",LOOKUP(M50,PPTO!$J$8:$J$269,PPTO!D$8:D$269))</f>
        <v>UND</v>
      </c>
      <c r="D50" s="90" t="str">
        <f>IF(LOOKUP(M50,PPTO!$J$8:$J$269,PPTO!E$8:E$269)=0," ",LOOKUP(M50,PPTO!$J$8:$J$269,PPTO!E$8:E$269))</f>
        <v xml:space="preserve"> </v>
      </c>
      <c r="E50" s="90" t="str">
        <f>IF(LOOKUP(M50,PPTO!$J$8:$J$269,PPTO!F$8:F$269)=0," ",LOOKUP(M50,PPTO!$J$8:$J$269,PPTO!F$8:F$269))</f>
        <v xml:space="preserve"> </v>
      </c>
      <c r="F50" s="90" t="str">
        <f>IF(LOOKUP(M50,PPTO!$J$8:$J$269,PPTO!H$8:H$269)=0," ",LOOKUP(M50,PPTO!$J$8:$J$269,PPTO!H$8:H$269))</f>
        <v xml:space="preserve"> </v>
      </c>
      <c r="G50" s="178">
        <v>912.33</v>
      </c>
      <c r="H50" s="102" t="e">
        <f t="shared" si="1"/>
        <v>#VALUE!</v>
      </c>
      <c r="I50" s="174">
        <v>69.33</v>
      </c>
      <c r="J50" s="102" t="e">
        <f t="shared" si="2"/>
        <v>#VALUE!</v>
      </c>
      <c r="K50" s="102" t="e">
        <f>I50+'ACTA PARCIAL No.8'!K50</f>
        <v>#REF!</v>
      </c>
      <c r="L50" s="102" t="e">
        <f t="shared" si="3"/>
        <v>#REF!</v>
      </c>
      <c r="M50" s="108">
        <f t="shared" si="0"/>
        <v>34</v>
      </c>
    </row>
    <row r="51" spans="1:13">
      <c r="A51" s="87" t="str">
        <f>IF(LOOKUP(M51,PPTO!$J$8:$J$269,PPTO!A$8:A$269)=0," ",LOOKUP(M51,PPTO!$J$8:$J$269,PPTO!A$8:A$269))</f>
        <v>5.03</v>
      </c>
      <c r="B51" s="91" t="str">
        <f>IF(LOOKUP(M51,PPTO!$J$8:J$269,PPTO!B$8:B$269)=0," ",LOOKUP(M51,PPTO!$J$8:J$269,PPTO!B$8:B$269))</f>
        <v xml:space="preserve"> </v>
      </c>
      <c r="C51" s="89" t="str">
        <f>IF(LOOKUP(M51,PPTO!$J$8:$J$269,PPTO!D$8:D$269)=0," ",LOOKUP(M51,PPTO!$J$8:$J$269,PPTO!D$8:D$269))</f>
        <v>UND</v>
      </c>
      <c r="D51" s="90" t="str">
        <f>IF(LOOKUP(M51,PPTO!$J$8:$J$269,PPTO!E$8:E$269)=0," ",LOOKUP(M51,PPTO!$J$8:$J$269,PPTO!E$8:E$269))</f>
        <v xml:space="preserve"> </v>
      </c>
      <c r="E51" s="90" t="str">
        <f>IF(LOOKUP(M51,PPTO!$J$8:$J$269,PPTO!F$8:F$269)=0," ",LOOKUP(M51,PPTO!$J$8:$J$269,PPTO!F$8:F$269))</f>
        <v xml:space="preserve"> </v>
      </c>
      <c r="F51" s="90" t="str">
        <f>IF(LOOKUP(M51,PPTO!$J$8:$J$269,PPTO!H$8:H$269)=0," ",LOOKUP(M51,PPTO!$J$8:$J$269,PPTO!H$8:H$269))</f>
        <v xml:space="preserve"> </v>
      </c>
      <c r="G51" s="178">
        <v>1259</v>
      </c>
      <c r="H51" s="102" t="e">
        <f t="shared" si="1"/>
        <v>#VALUE!</v>
      </c>
      <c r="I51" s="174">
        <v>0</v>
      </c>
      <c r="J51" s="102" t="e">
        <f t="shared" si="2"/>
        <v>#VALUE!</v>
      </c>
      <c r="K51" s="102" t="e">
        <f>I51+'ACTA PARCIAL No.8'!K51</f>
        <v>#REF!</v>
      </c>
      <c r="L51" s="102" t="e">
        <f t="shared" si="3"/>
        <v>#REF!</v>
      </c>
      <c r="M51" s="108">
        <f t="shared" si="0"/>
        <v>35</v>
      </c>
    </row>
    <row r="52" spans="1:13">
      <c r="A52" s="87" t="str">
        <f>IF(LOOKUP(M52,PPTO!$J$8:$J$269,PPTO!A$8:A$269)=0," ",LOOKUP(M52,PPTO!$J$8:$J$269,PPTO!A$8:A$269))</f>
        <v>5.04</v>
      </c>
      <c r="B52" s="91" t="str">
        <f>IF(LOOKUP(M52,PPTO!$J$8:J$269,PPTO!B$8:B$269)=0," ",LOOKUP(M52,PPTO!$J$8:J$269,PPTO!B$8:B$269))</f>
        <v xml:space="preserve"> </v>
      </c>
      <c r="C52" s="89" t="str">
        <f>IF(LOOKUP(M52,PPTO!$J$8:$J$269,PPTO!D$8:D$269)=0," ",LOOKUP(M52,PPTO!$J$8:$J$269,PPTO!D$8:D$269))</f>
        <v>UND</v>
      </c>
      <c r="D52" s="90" t="str">
        <f>IF(LOOKUP(M52,PPTO!$J$8:$J$269,PPTO!E$8:E$269)=0," ",LOOKUP(M52,PPTO!$J$8:$J$269,PPTO!E$8:E$269))</f>
        <v xml:space="preserve"> </v>
      </c>
      <c r="E52" s="90" t="str">
        <f>IF(LOOKUP(M52,PPTO!$J$8:$J$269,PPTO!F$8:F$269)=0," ",LOOKUP(M52,PPTO!$J$8:$J$269,PPTO!F$8:F$269))</f>
        <v xml:space="preserve"> </v>
      </c>
      <c r="F52" s="90" t="str">
        <f>IF(LOOKUP(M52,PPTO!$J$8:$J$269,PPTO!H$8:H$269)=0," ",LOOKUP(M52,PPTO!$J$8:$J$269,PPTO!H$8:H$269))</f>
        <v xml:space="preserve"> </v>
      </c>
      <c r="G52" s="178">
        <v>140</v>
      </c>
      <c r="H52" s="102" t="e">
        <f t="shared" si="1"/>
        <v>#VALUE!</v>
      </c>
      <c r="I52" s="174">
        <v>0</v>
      </c>
      <c r="J52" s="102" t="e">
        <f t="shared" si="2"/>
        <v>#VALUE!</v>
      </c>
      <c r="K52" s="102" t="e">
        <f>I52+'ACTA PARCIAL No.8'!K52</f>
        <v>#REF!</v>
      </c>
      <c r="L52" s="102" t="e">
        <f t="shared" si="3"/>
        <v>#REF!</v>
      </c>
      <c r="M52" s="108">
        <f t="shared" si="0"/>
        <v>36</v>
      </c>
    </row>
    <row r="53" spans="1:13">
      <c r="A53" s="87" t="str">
        <f>IF(LOOKUP(M53,PPTO!$J$8:$J$269,PPTO!A$8:A$269)=0," ",LOOKUP(M53,PPTO!$J$8:$J$269,PPTO!A$8:A$269))</f>
        <v>5.05</v>
      </c>
      <c r="B53" s="91" t="str">
        <f>IF(LOOKUP(M53,PPTO!$J$8:J$269,PPTO!B$8:B$269)=0," ",LOOKUP(M53,PPTO!$J$8:J$269,PPTO!B$8:B$269))</f>
        <v xml:space="preserve"> </v>
      </c>
      <c r="C53" s="89" t="str">
        <f>IF(LOOKUP(M53,PPTO!$J$8:$J$269,PPTO!D$8:D$269)=0," ",LOOKUP(M53,PPTO!$J$8:$J$269,PPTO!D$8:D$269))</f>
        <v>UND</v>
      </c>
      <c r="D53" s="90" t="str">
        <f>IF(LOOKUP(M53,PPTO!$J$8:$J$269,PPTO!E$8:E$269)=0," ",LOOKUP(M53,PPTO!$J$8:$J$269,PPTO!E$8:E$269))</f>
        <v xml:space="preserve"> </v>
      </c>
      <c r="E53" s="90" t="str">
        <f>IF(LOOKUP(M53,PPTO!$J$8:$J$269,PPTO!F$8:F$269)=0," ",LOOKUP(M53,PPTO!$J$8:$J$269,PPTO!F$8:F$269))</f>
        <v xml:space="preserve"> </v>
      </c>
      <c r="F53" s="90" t="str">
        <f>IF(LOOKUP(M53,PPTO!$J$8:$J$269,PPTO!H$8:H$269)=0," ",LOOKUP(M53,PPTO!$J$8:$J$269,PPTO!H$8:H$269))</f>
        <v xml:space="preserve"> </v>
      </c>
      <c r="G53" s="178">
        <v>84</v>
      </c>
      <c r="H53" s="102" t="e">
        <f t="shared" si="1"/>
        <v>#VALUE!</v>
      </c>
      <c r="I53" s="174">
        <v>0</v>
      </c>
      <c r="J53" s="102" t="e">
        <f t="shared" si="2"/>
        <v>#VALUE!</v>
      </c>
      <c r="K53" s="102" t="e">
        <f>I53+'ACTA PARCIAL No.8'!K53</f>
        <v>#REF!</v>
      </c>
      <c r="L53" s="102" t="e">
        <f t="shared" si="3"/>
        <v>#REF!</v>
      </c>
      <c r="M53" s="108">
        <f t="shared" si="0"/>
        <v>37</v>
      </c>
    </row>
    <row r="54" spans="1:13">
      <c r="A54" s="87" t="str">
        <f>IF(LOOKUP(M54,PPTO!$J$8:$J$269,PPTO!A$8:A$269)=0," ",LOOKUP(M54,PPTO!$J$8:$J$269,PPTO!A$8:A$269))</f>
        <v>5.06</v>
      </c>
      <c r="B54" s="91" t="str">
        <f>IF(LOOKUP(M54,PPTO!$J$8:J$269,PPTO!B$8:B$269)=0," ",LOOKUP(M54,PPTO!$J$8:J$269,PPTO!B$8:B$269))</f>
        <v xml:space="preserve"> </v>
      </c>
      <c r="C54" s="89" t="str">
        <f>IF(LOOKUP(M54,PPTO!$J$8:$J$269,PPTO!D$8:D$269)=0," ",LOOKUP(M54,PPTO!$J$8:$J$269,PPTO!D$8:D$269))</f>
        <v>UND</v>
      </c>
      <c r="D54" s="90" t="str">
        <f>IF(LOOKUP(M54,PPTO!$J$8:$J$269,PPTO!E$8:E$269)=0," ",LOOKUP(M54,PPTO!$J$8:$J$269,PPTO!E$8:E$269))</f>
        <v xml:space="preserve"> </v>
      </c>
      <c r="E54" s="90" t="str">
        <f>IF(LOOKUP(M54,PPTO!$J$8:$J$269,PPTO!F$8:F$269)=0," ",LOOKUP(M54,PPTO!$J$8:$J$269,PPTO!F$8:F$269))</f>
        <v xml:space="preserve"> </v>
      </c>
      <c r="F54" s="90" t="str">
        <f>IF(LOOKUP(M54,PPTO!$J$8:$J$269,PPTO!H$8:H$269)=0," ",LOOKUP(M54,PPTO!$J$8:$J$269,PPTO!H$8:H$269))</f>
        <v xml:space="preserve"> </v>
      </c>
      <c r="G54" s="178">
        <v>19</v>
      </c>
      <c r="H54" s="102" t="e">
        <f t="shared" si="1"/>
        <v>#VALUE!</v>
      </c>
      <c r="I54" s="174">
        <v>0</v>
      </c>
      <c r="J54" s="102" t="e">
        <f t="shared" si="2"/>
        <v>#VALUE!</v>
      </c>
      <c r="K54" s="102" t="e">
        <f>I54+'ACTA PARCIAL No.8'!K54</f>
        <v>#REF!</v>
      </c>
      <c r="L54" s="102" t="e">
        <f t="shared" si="3"/>
        <v>#REF!</v>
      </c>
      <c r="M54" s="108">
        <f t="shared" si="0"/>
        <v>38</v>
      </c>
    </row>
    <row r="55" spans="1:13">
      <c r="A55" s="87">
        <f>IF(LOOKUP(M55,PPTO!$J$8:$J$269,PPTO!A$8:A$269)=0," ",LOOKUP(M55,PPTO!$J$8:$J$269,PPTO!A$8:A$269))</f>
        <v>6</v>
      </c>
      <c r="B55" s="91" t="str">
        <f>IF(LOOKUP(M55,PPTO!$J$8:J$269,PPTO!B$8:B$269)=0," ",LOOKUP(M55,PPTO!$J$8:J$269,PPTO!B$8:B$269))</f>
        <v>CONSTRUCCION DE PAVIMENTOS</v>
      </c>
      <c r="C55" s="89" t="str">
        <f>IF(LOOKUP(M55,PPTO!$J$8:$J$269,PPTO!D$8:D$269)=0," ",LOOKUP(M55,PPTO!$J$8:$J$269,PPTO!D$8:D$269))</f>
        <v xml:space="preserve"> </v>
      </c>
      <c r="D55" s="90" t="str">
        <f>IF(LOOKUP(M55,PPTO!$J$8:$J$269,PPTO!E$8:E$269)=0," ",LOOKUP(M55,PPTO!$J$8:$J$269,PPTO!E$8:E$269))</f>
        <v xml:space="preserve"> </v>
      </c>
      <c r="E55" s="90" t="str">
        <f>IF(LOOKUP(M55,PPTO!$J$8:$J$269,PPTO!F$8:F$269)=0," ",LOOKUP(M55,PPTO!$J$8:$J$269,PPTO!F$8:F$269))</f>
        <v xml:space="preserve"> </v>
      </c>
      <c r="F55" s="90" t="str">
        <f>IF(LOOKUP(M55,PPTO!$J$8:$J$269,PPTO!H$8:H$269)=0," ",LOOKUP(M55,PPTO!$J$8:$J$269,PPTO!H$8:H$269))</f>
        <v xml:space="preserve"> </v>
      </c>
      <c r="G55" s="178"/>
      <c r="H55" s="102"/>
      <c r="I55" s="174"/>
      <c r="J55" s="102"/>
      <c r="K55" s="102"/>
      <c r="L55" s="102"/>
      <c r="M55" s="108">
        <f t="shared" si="0"/>
        <v>39</v>
      </c>
    </row>
    <row r="56" spans="1:13">
      <c r="A56" s="87" t="str">
        <f>IF(LOOKUP(M56,PPTO!$J$8:$J$269,PPTO!A$8:A$269)=0," ",LOOKUP(M56,PPTO!$J$8:$J$269,PPTO!A$8:A$269))</f>
        <v>6.01</v>
      </c>
      <c r="B56" s="91" t="str">
        <f>IF(LOOKUP(M56,PPTO!$J$8:J$269,PPTO!B$8:B$269)=0," ",LOOKUP(M56,PPTO!$J$8:J$269,PPTO!B$8:B$269))</f>
        <v xml:space="preserve"> </v>
      </c>
      <c r="C56" s="89" t="str">
        <f>IF(LOOKUP(M56,PPTO!$J$8:$J$269,PPTO!D$8:D$269)=0," ",LOOKUP(M56,PPTO!$J$8:$J$269,PPTO!D$8:D$269))</f>
        <v>M2</v>
      </c>
      <c r="D56" s="90" t="str">
        <f>IF(LOOKUP(M56,PPTO!$J$8:$J$269,PPTO!E$8:E$269)=0," ",LOOKUP(M56,PPTO!$J$8:$J$269,PPTO!E$8:E$269))</f>
        <v xml:space="preserve"> </v>
      </c>
      <c r="E56" s="90" t="str">
        <f>IF(LOOKUP(M56,PPTO!$J$8:$J$269,PPTO!F$8:F$269)=0," ",LOOKUP(M56,PPTO!$J$8:$J$269,PPTO!F$8:F$269))</f>
        <v xml:space="preserve"> </v>
      </c>
      <c r="F56" s="90" t="str">
        <f>IF(LOOKUP(M56,PPTO!$J$8:$J$269,PPTO!H$8:H$269)=0," ",LOOKUP(M56,PPTO!$J$8:$J$269,PPTO!H$8:H$269))</f>
        <v xml:space="preserve"> </v>
      </c>
      <c r="G56" s="178">
        <v>4134</v>
      </c>
      <c r="H56" s="102" t="e">
        <f t="shared" si="1"/>
        <v>#VALUE!</v>
      </c>
      <c r="I56" s="174">
        <v>0</v>
      </c>
      <c r="J56" s="102" t="e">
        <f t="shared" si="2"/>
        <v>#VALUE!</v>
      </c>
      <c r="K56" s="102" t="e">
        <f>I56+'ACTA PARCIAL No.8'!K56</f>
        <v>#REF!</v>
      </c>
      <c r="L56" s="102" t="e">
        <f t="shared" si="3"/>
        <v>#REF!</v>
      </c>
      <c r="M56" s="108">
        <f t="shared" si="0"/>
        <v>40</v>
      </c>
    </row>
    <row r="57" spans="1:13">
      <c r="A57" s="87" t="str">
        <f>IF(LOOKUP(M57,PPTO!$J$8:$J$269,PPTO!A$8:A$269)=0," ",LOOKUP(M57,PPTO!$J$8:$J$269,PPTO!A$8:A$269))</f>
        <v>6.02</v>
      </c>
      <c r="B57" s="91" t="str">
        <f>IF(LOOKUP(M57,PPTO!$J$8:J$269,PPTO!B$8:B$269)=0," ",LOOKUP(M57,PPTO!$J$8:J$269,PPTO!B$8:B$269))</f>
        <v xml:space="preserve"> </v>
      </c>
      <c r="C57" s="89" t="str">
        <f>IF(LOOKUP(M57,PPTO!$J$8:$J$269,PPTO!D$8:D$269)=0," ",LOOKUP(M57,PPTO!$J$8:$J$269,PPTO!D$8:D$269))</f>
        <v>M3</v>
      </c>
      <c r="D57" s="90" t="str">
        <f>IF(LOOKUP(M57,PPTO!$J$8:$J$269,PPTO!E$8:E$269)=0," ",LOOKUP(M57,PPTO!$J$8:$J$269,PPTO!E$8:E$269))</f>
        <v xml:space="preserve"> </v>
      </c>
      <c r="E57" s="90" t="str">
        <f>IF(LOOKUP(M57,PPTO!$J$8:$J$269,PPTO!F$8:F$269)=0," ",LOOKUP(M57,PPTO!$J$8:$J$269,PPTO!F$8:F$269))</f>
        <v xml:space="preserve"> </v>
      </c>
      <c r="F57" s="90" t="str">
        <f>IF(LOOKUP(M57,PPTO!$J$8:$J$269,PPTO!H$8:H$269)=0," ",LOOKUP(M57,PPTO!$J$8:$J$269,PPTO!H$8:H$269))</f>
        <v xml:space="preserve"> </v>
      </c>
      <c r="G57" s="178">
        <v>1243</v>
      </c>
      <c r="H57" s="102" t="e">
        <f t="shared" si="1"/>
        <v>#VALUE!</v>
      </c>
      <c r="I57" s="174">
        <v>1000</v>
      </c>
      <c r="J57" s="102" t="e">
        <f t="shared" si="2"/>
        <v>#VALUE!</v>
      </c>
      <c r="K57" s="102" t="e">
        <f>I57+'ACTA PARCIAL No.8'!K57</f>
        <v>#REF!</v>
      </c>
      <c r="L57" s="102" t="e">
        <f t="shared" si="3"/>
        <v>#REF!</v>
      </c>
      <c r="M57" s="108">
        <f t="shared" si="0"/>
        <v>41</v>
      </c>
    </row>
    <row r="58" spans="1:13">
      <c r="A58" s="87" t="str">
        <f>IF(LOOKUP(M58,PPTO!$J$8:$J$269,PPTO!A$8:A$269)=0," ",LOOKUP(M58,PPTO!$J$8:$J$269,PPTO!A$8:A$269))</f>
        <v>6.04</v>
      </c>
      <c r="B58" s="91" t="str">
        <f>IF(LOOKUP(M58,PPTO!$J$8:J$269,PPTO!B$8:B$269)=0," ",LOOKUP(M58,PPTO!$J$8:J$269,PPTO!B$8:B$269))</f>
        <v xml:space="preserve"> </v>
      </c>
      <c r="C58" s="89" t="str">
        <f>IF(LOOKUP(M58,PPTO!$J$8:$J$269,PPTO!D$8:D$269)=0," ",LOOKUP(M58,PPTO!$J$8:$J$269,PPTO!D$8:D$269))</f>
        <v>M2</v>
      </c>
      <c r="D58" s="90" t="str">
        <f>IF(LOOKUP(M58,PPTO!$J$8:$J$269,PPTO!E$8:E$269)=0," ",LOOKUP(M58,PPTO!$J$8:$J$269,PPTO!E$8:E$269))</f>
        <v xml:space="preserve"> </v>
      </c>
      <c r="E58" s="90" t="str">
        <f>IF(LOOKUP(M58,PPTO!$J$8:$J$269,PPTO!F$8:F$269)=0," ",LOOKUP(M58,PPTO!$J$8:$J$269,PPTO!F$8:F$269))</f>
        <v xml:space="preserve"> </v>
      </c>
      <c r="F58" s="90" t="str">
        <f>IF(LOOKUP(M58,PPTO!$J$8:$J$269,PPTO!H$8:H$269)=0," ",LOOKUP(M58,PPTO!$J$8:$J$269,PPTO!H$8:H$269))</f>
        <v xml:space="preserve"> </v>
      </c>
      <c r="G58" s="178">
        <v>1259</v>
      </c>
      <c r="H58" s="102" t="e">
        <f t="shared" si="1"/>
        <v>#VALUE!</v>
      </c>
      <c r="I58" s="174">
        <v>0</v>
      </c>
      <c r="J58" s="102" t="e">
        <f t="shared" si="2"/>
        <v>#VALUE!</v>
      </c>
      <c r="K58" s="102" t="e">
        <f>I58+'ACTA PARCIAL No.8'!K58</f>
        <v>#REF!</v>
      </c>
      <c r="L58" s="102" t="e">
        <f t="shared" si="3"/>
        <v>#REF!</v>
      </c>
      <c r="M58" s="108">
        <f t="shared" si="0"/>
        <v>42</v>
      </c>
    </row>
    <row r="59" spans="1:13">
      <c r="A59" s="87" t="str">
        <f>IF(LOOKUP(M59,PPTO!$J$8:$J$269,PPTO!A$8:A$269)=0," ",LOOKUP(M59,PPTO!$J$8:$J$269,PPTO!A$8:A$269))</f>
        <v>6.05</v>
      </c>
      <c r="B59" s="91" t="str">
        <f>IF(LOOKUP(M59,PPTO!$J$8:J$269,PPTO!B$8:B$269)=0," ",LOOKUP(M59,PPTO!$J$8:J$269,PPTO!B$8:B$269))</f>
        <v xml:space="preserve"> </v>
      </c>
      <c r="C59" s="89" t="str">
        <f>IF(LOOKUP(M59,PPTO!$J$8:$J$269,PPTO!D$8:D$269)=0," ",LOOKUP(M59,PPTO!$J$8:$J$269,PPTO!D$8:D$269))</f>
        <v>ML</v>
      </c>
      <c r="D59" s="90" t="str">
        <f>IF(LOOKUP(M59,PPTO!$J$8:$J$269,PPTO!E$8:E$269)=0," ",LOOKUP(M59,PPTO!$J$8:$J$269,PPTO!E$8:E$269))</f>
        <v xml:space="preserve"> </v>
      </c>
      <c r="E59" s="90" t="str">
        <f>IF(LOOKUP(M59,PPTO!$J$8:$J$269,PPTO!F$8:F$269)=0," ",LOOKUP(M59,PPTO!$J$8:$J$269,PPTO!F$8:F$269))</f>
        <v xml:space="preserve"> </v>
      </c>
      <c r="F59" s="90" t="str">
        <f>IF(LOOKUP(M59,PPTO!$J$8:$J$269,PPTO!H$8:H$269)=0," ",LOOKUP(M59,PPTO!$J$8:$J$269,PPTO!H$8:H$269))</f>
        <v xml:space="preserve"> </v>
      </c>
      <c r="G59" s="178">
        <v>1259</v>
      </c>
      <c r="H59" s="102" t="e">
        <f t="shared" si="1"/>
        <v>#VALUE!</v>
      </c>
      <c r="I59" s="174">
        <v>0</v>
      </c>
      <c r="J59" s="102" t="e">
        <f t="shared" si="2"/>
        <v>#VALUE!</v>
      </c>
      <c r="K59" s="102" t="e">
        <f>I59+'ACTA PARCIAL No.8'!K59</f>
        <v>#REF!</v>
      </c>
      <c r="L59" s="102" t="e">
        <f t="shared" si="3"/>
        <v>#REF!</v>
      </c>
      <c r="M59" s="108">
        <f t="shared" si="0"/>
        <v>43</v>
      </c>
    </row>
    <row r="60" spans="1:13">
      <c r="A60" s="87" t="str">
        <f>IF(LOOKUP(M60,PPTO!$J$8:$J$269,PPTO!A$8:A$269)=0," ",LOOKUP(M60,PPTO!$J$8:$J$269,PPTO!A$8:A$269))</f>
        <v>6.06</v>
      </c>
      <c r="B60" s="91" t="str">
        <f>IF(LOOKUP(M60,PPTO!$J$8:J$269,PPTO!B$8:B$269)=0," ",LOOKUP(M60,PPTO!$J$8:J$269,PPTO!B$8:B$269))</f>
        <v xml:space="preserve"> </v>
      </c>
      <c r="C60" s="89" t="str">
        <f>IF(LOOKUP(M60,PPTO!$J$8:$J$269,PPTO!D$8:D$269)=0," ",LOOKUP(M60,PPTO!$J$8:$J$269,PPTO!D$8:D$269))</f>
        <v>M2</v>
      </c>
      <c r="D60" s="90" t="str">
        <f>IF(LOOKUP(M60,PPTO!$J$8:$J$269,PPTO!E$8:E$269)=0," ",LOOKUP(M60,PPTO!$J$8:$J$269,PPTO!E$8:E$269))</f>
        <v xml:space="preserve"> </v>
      </c>
      <c r="E60" s="90" t="str">
        <f>IF(LOOKUP(M60,PPTO!$J$8:$J$269,PPTO!F$8:F$269)=0," ",LOOKUP(M60,PPTO!$J$8:$J$269,PPTO!F$8:F$269))</f>
        <v xml:space="preserve"> </v>
      </c>
      <c r="F60" s="90" t="str">
        <f>IF(LOOKUP(M60,PPTO!$J$8:$J$269,PPTO!H$8:H$269)=0," ",LOOKUP(M60,PPTO!$J$8:$J$269,PPTO!H$8:H$269))</f>
        <v xml:space="preserve"> </v>
      </c>
      <c r="G60" s="178">
        <v>140</v>
      </c>
      <c r="H60" s="102" t="e">
        <f t="shared" si="1"/>
        <v>#VALUE!</v>
      </c>
      <c r="I60" s="174">
        <v>0</v>
      </c>
      <c r="J60" s="102" t="e">
        <f t="shared" si="2"/>
        <v>#VALUE!</v>
      </c>
      <c r="K60" s="102" t="e">
        <f>I60+'ACTA PARCIAL No.8'!K60</f>
        <v>#REF!</v>
      </c>
      <c r="L60" s="102" t="e">
        <f t="shared" si="3"/>
        <v>#REF!</v>
      </c>
      <c r="M60" s="108">
        <f t="shared" si="0"/>
        <v>44</v>
      </c>
    </row>
    <row r="61" spans="1:13">
      <c r="A61" s="87"/>
      <c r="B61" s="154"/>
      <c r="C61" s="155"/>
      <c r="D61" s="156"/>
      <c r="E61" s="156"/>
      <c r="F61" s="176"/>
      <c r="G61" s="179"/>
      <c r="H61" s="177"/>
      <c r="I61" s="174"/>
      <c r="J61" s="102"/>
      <c r="K61" s="102"/>
      <c r="L61" s="102"/>
      <c r="M61" s="108"/>
    </row>
    <row r="62" spans="1:13">
      <c r="A62" s="87"/>
      <c r="B62" s="275" t="s">
        <v>348</v>
      </c>
      <c r="C62" s="276"/>
      <c r="D62" s="277"/>
      <c r="E62" s="277"/>
      <c r="F62" s="277">
        <v>0</v>
      </c>
      <c r="G62" s="278"/>
      <c r="H62" s="278">
        <v>0</v>
      </c>
      <c r="I62" s="279"/>
      <c r="J62" s="279">
        <v>0</v>
      </c>
      <c r="K62" s="279"/>
      <c r="L62" s="279">
        <v>0</v>
      </c>
      <c r="M62" s="108"/>
    </row>
    <row r="63" spans="1:13" ht="12.75" thickBot="1">
      <c r="A63" s="87"/>
      <c r="B63" s="154"/>
      <c r="C63" s="155"/>
      <c r="D63" s="156"/>
      <c r="E63" s="156"/>
      <c r="F63" s="156"/>
      <c r="G63" s="161"/>
      <c r="H63" s="161"/>
      <c r="I63" s="102"/>
      <c r="J63" s="102"/>
      <c r="K63" s="102"/>
      <c r="L63" s="102"/>
      <c r="M63" s="108"/>
    </row>
    <row r="64" spans="1:13" ht="12.75" thickBot="1">
      <c r="A64" s="87"/>
      <c r="B64" s="280" t="s">
        <v>323</v>
      </c>
      <c r="C64" s="281"/>
      <c r="D64" s="282"/>
      <c r="E64" s="282"/>
      <c r="F64" s="283">
        <f>SUM(F19:F63)</f>
        <v>0</v>
      </c>
      <c r="G64" s="284"/>
      <c r="H64" s="283" t="e">
        <f>SUM(H19:H63)</f>
        <v>#VALUE!</v>
      </c>
      <c r="I64" s="284"/>
      <c r="J64" s="283" t="e">
        <f>SUM(J19:J63)</f>
        <v>#VALUE!</v>
      </c>
      <c r="K64" s="284"/>
      <c r="L64" s="283" t="e">
        <f>SUM(L19:L63)</f>
        <v>#REF!</v>
      </c>
      <c r="M64" s="108"/>
    </row>
    <row r="65" spans="1:13">
      <c r="A65" s="87"/>
      <c r="B65" s="285" t="s">
        <v>174</v>
      </c>
      <c r="C65" s="286" t="s">
        <v>296</v>
      </c>
      <c r="D65" s="287">
        <f>DATOS!E184</f>
        <v>18.5</v>
      </c>
      <c r="E65" s="288"/>
      <c r="F65" s="288">
        <f>ROUND(F$64*$D$65/100,0)</f>
        <v>0</v>
      </c>
      <c r="G65" s="289"/>
      <c r="H65" s="288" t="e">
        <f>ROUND(H$64*$D$65/100,0)</f>
        <v>#VALUE!</v>
      </c>
      <c r="I65" s="289"/>
      <c r="J65" s="288" t="e">
        <f>ROUND(J$64*$D$65/100,0)</f>
        <v>#VALUE!</v>
      </c>
      <c r="K65" s="289"/>
      <c r="L65" s="288" t="e">
        <f>ROUND(L$64*$D$65/100,0)</f>
        <v>#REF!</v>
      </c>
      <c r="M65" s="108"/>
    </row>
    <row r="66" spans="1:13">
      <c r="A66" s="87"/>
      <c r="B66" s="290" t="s">
        <v>166</v>
      </c>
      <c r="C66" s="291" t="s">
        <v>296</v>
      </c>
      <c r="D66" s="292">
        <f>DATOS!E186</f>
        <v>5</v>
      </c>
      <c r="E66" s="293"/>
      <c r="F66" s="288">
        <f>ROUND(F$64*$D$66/100,0)</f>
        <v>0</v>
      </c>
      <c r="G66" s="279"/>
      <c r="H66" s="288" t="e">
        <f>ROUND(H$64*$D$66/100,0)</f>
        <v>#VALUE!</v>
      </c>
      <c r="I66" s="279"/>
      <c r="J66" s="288" t="e">
        <f>ROUND(J$64*$D$66/100,0)</f>
        <v>#VALUE!</v>
      </c>
      <c r="K66" s="279"/>
      <c r="L66" s="288" t="e">
        <f>ROUND(L$64*$D$66/100,0)</f>
        <v>#REF!</v>
      </c>
      <c r="M66" s="108"/>
    </row>
    <row r="67" spans="1:13" ht="12.75" thickBot="1">
      <c r="A67" s="87"/>
      <c r="B67" s="294" t="s">
        <v>167</v>
      </c>
      <c r="C67" s="295" t="s">
        <v>296</v>
      </c>
      <c r="D67" s="292">
        <f>DATOS!E188</f>
        <v>8</v>
      </c>
      <c r="E67" s="293"/>
      <c r="F67" s="288">
        <f>ROUND(F$64*$D$67/100,0)</f>
        <v>0</v>
      </c>
      <c r="G67" s="279"/>
      <c r="H67" s="288" t="e">
        <f>ROUND(H$64*$D$67/100,0)</f>
        <v>#VALUE!</v>
      </c>
      <c r="I67" s="279"/>
      <c r="J67" s="288" t="e">
        <f>ROUND(J$64*$D$67/100,0)</f>
        <v>#VALUE!</v>
      </c>
      <c r="K67" s="279"/>
      <c r="L67" s="288" t="e">
        <f>ROUND(L$64*$D$67/100,0)</f>
        <v>#REF!</v>
      </c>
      <c r="M67" s="108"/>
    </row>
    <row r="68" spans="1:13" ht="12.75" thickBot="1">
      <c r="A68" s="87"/>
      <c r="B68" s="280" t="s">
        <v>324</v>
      </c>
      <c r="C68" s="281"/>
      <c r="D68" s="282"/>
      <c r="E68" s="282"/>
      <c r="F68" s="283">
        <f>SUM(F65:F67)</f>
        <v>0</v>
      </c>
      <c r="G68" s="284"/>
      <c r="H68" s="283" t="e">
        <f>SUM(H65:H67)</f>
        <v>#VALUE!</v>
      </c>
      <c r="I68" s="284"/>
      <c r="J68" s="283" t="e">
        <f>SUM(J65:J67)</f>
        <v>#VALUE!</v>
      </c>
      <c r="K68" s="284"/>
      <c r="L68" s="283" t="e">
        <f>SUM(L65:L67)</f>
        <v>#REF!</v>
      </c>
      <c r="M68" s="108"/>
    </row>
    <row r="69" spans="1:13" ht="19.149999999999999" customHeight="1" thickBot="1">
      <c r="A69" s="87"/>
      <c r="B69" s="1150"/>
      <c r="C69" s="1150"/>
      <c r="D69" s="293"/>
      <c r="E69" s="293"/>
      <c r="F69" s="293"/>
      <c r="G69" s="279"/>
      <c r="H69" s="293"/>
      <c r="I69" s="279"/>
      <c r="J69" s="293"/>
      <c r="K69" s="279"/>
      <c r="L69" s="293"/>
      <c r="M69" s="108"/>
    </row>
    <row r="70" spans="1:13" ht="12.75" thickBot="1">
      <c r="A70" s="87"/>
      <c r="B70" s="280" t="s">
        <v>325</v>
      </c>
      <c r="C70" s="281"/>
      <c r="D70" s="282"/>
      <c r="E70" s="282"/>
      <c r="F70" s="283">
        <f>F64+F68</f>
        <v>0</v>
      </c>
      <c r="G70" s="284"/>
      <c r="H70" s="283" t="e">
        <f>H64+H68</f>
        <v>#VALUE!</v>
      </c>
      <c r="I70" s="284"/>
      <c r="J70" s="283" t="e">
        <f>J64+J68</f>
        <v>#VALUE!</v>
      </c>
      <c r="K70" s="284"/>
      <c r="L70" s="283" t="e">
        <f>L64+L68</f>
        <v>#REF!</v>
      </c>
      <c r="M70" s="108"/>
    </row>
    <row r="71" spans="1:13">
      <c r="A71" s="87" t="str">
        <f>IF(LOOKUP(M71,PPTO!$J$8:$J$269,PPTO!A$8:A$269)=0," ",LOOKUP(M71,PPTO!$J$8:$J$269,PPTO!A$8:A$269))</f>
        <v xml:space="preserve"> </v>
      </c>
      <c r="B71" s="88" t="str">
        <f>IF(LOOKUP(M71,PPTO!$J$8:J$269,PPTO!B$8:B$269)=0," ",LOOKUP(M71,PPTO!$J$8:J$269,PPTO!B$8:B$269))</f>
        <v xml:space="preserve"> </v>
      </c>
      <c r="C71" s="89" t="str">
        <f>IF(LOOKUP(M71,PPTO!$J$8:$J$269,PPTO!D$8:D$269)=0," ",LOOKUP(M71,PPTO!$J$8:$J$269,PPTO!D$8:D$269))</f>
        <v xml:space="preserve"> </v>
      </c>
      <c r="D71" s="90" t="str">
        <f>IF(LOOKUP(M71,PPTO!$J$8:$J$269,PPTO!E$8:E$269)=0," ",LOOKUP(M71,PPTO!$J$8:$J$269,PPTO!E$8:E$269))</f>
        <v xml:space="preserve"> </v>
      </c>
      <c r="E71" s="90" t="str">
        <f>IF(LOOKUP(M71,PPTO!$J$8:$J$269,PPTO!F$8:F$269)=0," ",LOOKUP(M71,PPTO!$J$8:$J$269,PPTO!F$8:F$269))</f>
        <v xml:space="preserve"> </v>
      </c>
      <c r="F71" s="97" t="str">
        <f>IF(LOOKUP(M71,PPTO!$J$8:$J$269,PPTO!H$8:H$269)=0," ",LOOKUP(M71,PPTO!$J$8:$J$269,PPTO!H$8:H$269))</f>
        <v xml:space="preserve"> </v>
      </c>
      <c r="G71" s="102"/>
      <c r="H71" s="102"/>
      <c r="I71" s="102"/>
      <c r="J71" s="102"/>
      <c r="K71" s="102"/>
      <c r="L71" s="102"/>
      <c r="M71" s="108">
        <v>45</v>
      </c>
    </row>
    <row r="72" spans="1:13">
      <c r="A72" s="92">
        <f>IF(LOOKUP(M72,PPTO!$J$8:$J$269,PPTO!A$8:A$269)=0," ",LOOKUP(M72,PPTO!$J$8:$J$269,PPTO!A$8:A$269))</f>
        <v>7</v>
      </c>
      <c r="B72" s="88" t="str">
        <f>IF(LOOKUP(M72,PPTO!$J$8:J$269,PPTO!B$8:B$269)=0," ",LOOKUP(M72,PPTO!$J$8:J$269,PPTO!B$8:B$269))</f>
        <v>SUMINISTRO DE TUBERIA</v>
      </c>
      <c r="C72" s="145" t="str">
        <f>IF(LOOKUP(M72,PPTO!$J$8:$J$269,PPTO!D$8:D$269)=0," ",LOOKUP(M72,PPTO!$J$8:$J$269,PPTO!D$8:D$269))</f>
        <v xml:space="preserve"> </v>
      </c>
      <c r="D72" s="144" t="str">
        <f>IF(LOOKUP(M72,PPTO!$J$8:$J$269,PPTO!E$8:E$269)=0," ",LOOKUP(M72,PPTO!$J$8:$J$269,PPTO!E$8:E$269))</f>
        <v xml:space="preserve"> </v>
      </c>
      <c r="E72" s="90" t="str">
        <f>IF(LOOKUP(M72,PPTO!$J$8:$J$269,PPTO!F$8:F$269)=0," ",LOOKUP(M72,PPTO!$J$8:$J$269,PPTO!F$8:F$269))</f>
        <v xml:space="preserve"> </v>
      </c>
      <c r="F72" s="90" t="str">
        <f>IF(LOOKUP(M72,PPTO!$J$8:$J$269,PPTO!H$8:H$269)=0," ",LOOKUP(M72,PPTO!$J$8:$J$269,PPTO!H$8:H$269))</f>
        <v xml:space="preserve"> </v>
      </c>
      <c r="G72" s="178"/>
      <c r="H72" s="102"/>
      <c r="I72" s="174"/>
      <c r="J72" s="102"/>
      <c r="K72" s="102"/>
      <c r="L72" s="102"/>
      <c r="M72" s="108">
        <f t="shared" ref="M72:M77" si="4">M71+1</f>
        <v>46</v>
      </c>
    </row>
    <row r="73" spans="1:13" ht="24">
      <c r="A73" s="87" t="str">
        <f>IF(LOOKUP(M73,PPTO!$J$8:$J$269,PPTO!A$8:A$269)=0," ",LOOKUP(M73,PPTO!$J$8:$J$269,PPTO!A$8:A$269))</f>
        <v>7.01</v>
      </c>
      <c r="B73" s="91" t="str">
        <f>IF(LOOKUP(M73,PPTO!$J$8:J$269,PPTO!B$8:B$269)=0," ",LOOKUP(M73,PPTO!$J$8:J$269,PPTO!B$8:B$269))</f>
        <v>SUM DE TUBERIA PVC UNION MECANICA PARA ALCANTARILLADOS 6", 160 MM</v>
      </c>
      <c r="C73" s="145" t="str">
        <f>IF(LOOKUP(M73,PPTO!$J$8:$J$269,PPTO!D$8:D$269)=0," ",LOOKUP(M73,PPTO!$J$8:$J$269,PPTO!D$8:D$269))</f>
        <v>ML</v>
      </c>
      <c r="D73" s="90" t="str">
        <f>IF(LOOKUP(M73,PPTO!$J$8:$J$269,PPTO!E$8:E$269)=0," ",LOOKUP(M73,PPTO!$J$8:$J$269,PPTO!E$8:E$269))</f>
        <v xml:space="preserve"> </v>
      </c>
      <c r="E73" s="90" t="str">
        <f>IF(LOOKUP(M73,PPTO!$J$8:$J$269,PPTO!F$8:F$269)=0," ",LOOKUP(M73,PPTO!$J$8:$J$269,PPTO!F$8:F$269))</f>
        <v xml:space="preserve"> </v>
      </c>
      <c r="F73" s="90" t="str">
        <f>IF(LOOKUP(M73,PPTO!$J$8:$J$269,PPTO!H$8:H$269)=0," ",LOOKUP(M73,PPTO!$J$8:$J$269,PPTO!H$8:H$269))</f>
        <v xml:space="preserve"> </v>
      </c>
      <c r="G73" s="178">
        <v>7554</v>
      </c>
      <c r="H73" s="102" t="e">
        <f t="shared" ref="H73:H77" si="5">ROUND(G73*E73,0)</f>
        <v>#VALUE!</v>
      </c>
      <c r="I73" s="174">
        <v>0</v>
      </c>
      <c r="J73" s="102" t="e">
        <f t="shared" ref="J73:J77" si="6">ROUND(I73*E73,0)</f>
        <v>#VALUE!</v>
      </c>
      <c r="K73" s="102" t="e">
        <f>I73+'ACTA PARCIAL No.8'!K73</f>
        <v>#REF!</v>
      </c>
      <c r="L73" s="102" t="e">
        <f t="shared" ref="L73:L77" si="7">ROUND(K73*E73,0)</f>
        <v>#REF!</v>
      </c>
      <c r="M73" s="108">
        <f t="shared" si="4"/>
        <v>47</v>
      </c>
    </row>
    <row r="74" spans="1:13">
      <c r="A74" s="87" t="str">
        <f>IF(LOOKUP(M74,PPTO!$J$8:$J$269,PPTO!A$8:A$269)=0," ",LOOKUP(M74,PPTO!$J$8:$J$269,PPTO!A$8:A$269))</f>
        <v>7.02</v>
      </c>
      <c r="B74" s="91" t="str">
        <f>IF(LOOKUP(M74,PPTO!$J$8:J$269,PPTO!B$8:B$269)=0," ",LOOKUP(M74,PPTO!$J$8:J$269,PPTO!B$8:B$269))</f>
        <v>SUM TUB PVC 8" ALC</v>
      </c>
      <c r="C74" s="145" t="str">
        <f>IF(LOOKUP(M74,PPTO!$J$8:$J$269,PPTO!D$8:D$269)=0," ",LOOKUP(M74,PPTO!$J$8:$J$269,PPTO!D$8:D$269))</f>
        <v>ML</v>
      </c>
      <c r="D74" s="90" t="str">
        <f>IF(LOOKUP(M74,PPTO!$J$8:$J$269,PPTO!E$8:E$269)=0," ",LOOKUP(M74,PPTO!$J$8:$J$269,PPTO!E$8:E$269))</f>
        <v xml:space="preserve"> </v>
      </c>
      <c r="E74" s="90" t="str">
        <f>IF(LOOKUP(M74,PPTO!$J$8:$J$269,PPTO!F$8:F$269)=0," ",LOOKUP(M74,PPTO!$J$8:$J$269,PPTO!F$8:F$269))</f>
        <v xml:space="preserve"> </v>
      </c>
      <c r="F74" s="90" t="str">
        <f>IF(LOOKUP(M74,PPTO!$J$8:$J$269,PPTO!H$8:H$269)=0," ",LOOKUP(M74,PPTO!$J$8:$J$269,PPTO!H$8:H$269))</f>
        <v xml:space="preserve"> </v>
      </c>
      <c r="G74" s="178">
        <v>10629.07</v>
      </c>
      <c r="H74" s="102" t="e">
        <f t="shared" si="5"/>
        <v>#VALUE!</v>
      </c>
      <c r="I74" s="174">
        <v>0</v>
      </c>
      <c r="J74" s="102" t="e">
        <f t="shared" si="6"/>
        <v>#VALUE!</v>
      </c>
      <c r="K74" s="102" t="e">
        <f>I74+'ACTA PARCIAL No.8'!K74</f>
        <v>#REF!</v>
      </c>
      <c r="L74" s="102" t="e">
        <f t="shared" si="7"/>
        <v>#REF!</v>
      </c>
      <c r="M74" s="108">
        <f t="shared" si="4"/>
        <v>48</v>
      </c>
    </row>
    <row r="75" spans="1:13">
      <c r="A75" s="87" t="str">
        <f>IF(LOOKUP(M75,PPTO!$J$8:$J$269,PPTO!A$8:A$269)=0," ",LOOKUP(M75,PPTO!$J$8:$J$269,PPTO!A$8:A$269))</f>
        <v>7.03</v>
      </c>
      <c r="B75" s="91" t="str">
        <f>IF(LOOKUP(M75,PPTO!$J$8:J$269,PPTO!B$8:B$269)=0," ",LOOKUP(M75,PPTO!$J$8:J$269,PPTO!B$8:B$269))</f>
        <v>SUM TUB PVC 10" ALC</v>
      </c>
      <c r="C75" s="89" t="str">
        <f>IF(LOOKUP(M75,PPTO!$J$8:$J$269,PPTO!D$8:D$269)=0," ",LOOKUP(M75,PPTO!$J$8:$J$269,PPTO!D$8:D$269))</f>
        <v>ML</v>
      </c>
      <c r="D75" s="90" t="str">
        <f>IF(LOOKUP(M75,PPTO!$J$8:$J$269,PPTO!E$8:E$269)=0," ",LOOKUP(M75,PPTO!$J$8:$J$269,PPTO!E$8:E$269))</f>
        <v xml:space="preserve"> </v>
      </c>
      <c r="E75" s="90" t="str">
        <f>IF(LOOKUP(M75,PPTO!$J$8:$J$269,PPTO!F$8:F$269)=0," ",LOOKUP(M75,PPTO!$J$8:$J$269,PPTO!F$8:F$269))</f>
        <v xml:space="preserve"> </v>
      </c>
      <c r="F75" s="90" t="str">
        <f>IF(LOOKUP(M75,PPTO!$J$8:$J$269,PPTO!H$8:H$269)=0," ",LOOKUP(M75,PPTO!$J$8:$J$269,PPTO!H$8:H$269))</f>
        <v xml:space="preserve"> </v>
      </c>
      <c r="G75" s="178">
        <v>119.02</v>
      </c>
      <c r="H75" s="102" t="e">
        <f t="shared" si="5"/>
        <v>#VALUE!</v>
      </c>
      <c r="I75" s="174">
        <v>0</v>
      </c>
      <c r="J75" s="102" t="e">
        <f t="shared" si="6"/>
        <v>#VALUE!</v>
      </c>
      <c r="K75" s="102" t="e">
        <f>I75+'ACTA PARCIAL No.8'!K75</f>
        <v>#REF!</v>
      </c>
      <c r="L75" s="102" t="e">
        <f t="shared" si="7"/>
        <v>#REF!</v>
      </c>
      <c r="M75" s="108">
        <f t="shared" si="4"/>
        <v>49</v>
      </c>
    </row>
    <row r="76" spans="1:13">
      <c r="A76" s="87" t="str">
        <f>IF(LOOKUP(M76,PPTO!$J$8:$J$269,PPTO!A$8:A$269)=0," ",LOOKUP(M76,PPTO!$J$8:$J$269,PPTO!A$8:A$269))</f>
        <v>7.04</v>
      </c>
      <c r="B76" s="91" t="str">
        <f>IF(LOOKUP(M76,PPTO!$J$8:J$269,PPTO!B$8:B$269)=0," ",LOOKUP(M76,PPTO!$J$8:J$269,PPTO!B$8:B$269))</f>
        <v>SUM TUB PVC 12" ALC</v>
      </c>
      <c r="C76" s="89" t="str">
        <f>IF(LOOKUP(M76,PPTO!$J$8:$J$269,PPTO!D$8:D$269)=0," ",LOOKUP(M76,PPTO!$J$8:$J$269,PPTO!D$8:D$269))</f>
        <v>ML</v>
      </c>
      <c r="D76" s="90" t="str">
        <f>IF(LOOKUP(M76,PPTO!$J$8:$J$269,PPTO!E$8:E$269)=0," ",LOOKUP(M76,PPTO!$J$8:$J$269,PPTO!E$8:E$269))</f>
        <v xml:space="preserve"> </v>
      </c>
      <c r="E76" s="90" t="str">
        <f>IF(LOOKUP(M76,PPTO!$J$8:$J$269,PPTO!F$8:F$269)=0," ",LOOKUP(M76,PPTO!$J$8:$J$269,PPTO!F$8:F$269))</f>
        <v xml:space="preserve"> </v>
      </c>
      <c r="F76" s="90" t="str">
        <f>IF(LOOKUP(M76,PPTO!$J$8:$J$269,PPTO!H$8:H$269)=0," ",LOOKUP(M76,PPTO!$J$8:$J$269,PPTO!H$8:H$269))</f>
        <v xml:space="preserve"> </v>
      </c>
      <c r="G76" s="178">
        <v>293.73</v>
      </c>
      <c r="H76" s="102" t="e">
        <f t="shared" si="5"/>
        <v>#VALUE!</v>
      </c>
      <c r="I76" s="174">
        <v>0</v>
      </c>
      <c r="J76" s="102" t="e">
        <f t="shared" si="6"/>
        <v>#VALUE!</v>
      </c>
      <c r="K76" s="102" t="e">
        <f>I76+'ACTA PARCIAL No.8'!K76</f>
        <v>#REF!</v>
      </c>
      <c r="L76" s="102" t="e">
        <f t="shared" si="7"/>
        <v>#REF!</v>
      </c>
      <c r="M76" s="108">
        <f t="shared" si="4"/>
        <v>50</v>
      </c>
    </row>
    <row r="77" spans="1:13">
      <c r="A77" s="87" t="str">
        <f>IF(LOOKUP(M77,PPTO!$J$8:$J$269,PPTO!A$8:A$269)=0," ",LOOKUP(M77,PPTO!$J$8:$J$269,PPTO!A$8:A$269))</f>
        <v>7.05</v>
      </c>
      <c r="B77" s="91" t="str">
        <f>IF(LOOKUP(M77,PPTO!$J$8:J$269,PPTO!B$8:B$269)=0," ",LOOKUP(M77,PPTO!$J$8:J$269,PPTO!B$8:B$269))</f>
        <v>SUMINISTRO TUB PVC NOVAFORT 14 "</v>
      </c>
      <c r="C77" s="89" t="str">
        <f>IF(LOOKUP(M77,PPTO!$J$8:$J$269,PPTO!D$8:D$269)=0," ",LOOKUP(M77,PPTO!$J$8:$J$269,PPTO!D$8:D$269))</f>
        <v>ML</v>
      </c>
      <c r="D77" s="90" t="str">
        <f>IF(LOOKUP(M77,PPTO!$J$8:$J$269,PPTO!E$8:E$269)=0," ",LOOKUP(M77,PPTO!$J$8:$J$269,PPTO!E$8:E$269))</f>
        <v xml:space="preserve"> </v>
      </c>
      <c r="E77" s="90" t="str">
        <f>IF(LOOKUP(M77,PPTO!$J$8:$J$269,PPTO!F$8:F$269)=0," ",LOOKUP(M77,PPTO!$J$8:$J$269,PPTO!F$8:F$269))</f>
        <v xml:space="preserve"> </v>
      </c>
      <c r="F77" s="90" t="str">
        <f>IF(LOOKUP(M77,PPTO!$J$8:$J$269,PPTO!H$8:H$269)=0," ",LOOKUP(M77,PPTO!$J$8:$J$269,PPTO!H$8:H$269))</f>
        <v xml:space="preserve"> </v>
      </c>
      <c r="G77" s="178">
        <v>915</v>
      </c>
      <c r="H77" s="102" t="e">
        <f t="shared" si="5"/>
        <v>#VALUE!</v>
      </c>
      <c r="I77" s="174">
        <v>0</v>
      </c>
      <c r="J77" s="102" t="e">
        <f t="shared" si="6"/>
        <v>#VALUE!</v>
      </c>
      <c r="K77" s="102" t="e">
        <f>I77+'ACTA PARCIAL No.8'!K77</f>
        <v>#REF!</v>
      </c>
      <c r="L77" s="102" t="e">
        <f t="shared" si="7"/>
        <v>#REF!</v>
      </c>
      <c r="M77" s="108">
        <f t="shared" si="4"/>
        <v>51</v>
      </c>
    </row>
    <row r="78" spans="1:13">
      <c r="A78" s="87"/>
      <c r="B78" s="88"/>
      <c r="C78" s="89"/>
      <c r="D78" s="90"/>
      <c r="E78" s="90"/>
      <c r="F78" s="97"/>
      <c r="G78" s="179"/>
      <c r="H78" s="177"/>
      <c r="I78" s="174"/>
      <c r="J78" s="148"/>
      <c r="K78" s="102"/>
      <c r="L78" s="148"/>
      <c r="M78" s="108"/>
    </row>
    <row r="79" spans="1:13">
      <c r="A79" s="87"/>
      <c r="B79" s="275" t="s">
        <v>348</v>
      </c>
      <c r="C79" s="276"/>
      <c r="D79" s="277"/>
      <c r="E79" s="277"/>
      <c r="F79" s="277">
        <v>0</v>
      </c>
      <c r="G79" s="278"/>
      <c r="H79" s="278">
        <v>0</v>
      </c>
      <c r="I79" s="279"/>
      <c r="J79" s="279">
        <v>0</v>
      </c>
      <c r="K79" s="279"/>
      <c r="L79" s="279">
        <v>0</v>
      </c>
      <c r="M79" s="108"/>
    </row>
    <row r="80" spans="1:13" ht="12.75" thickBot="1">
      <c r="A80" s="87"/>
      <c r="B80" s="91"/>
      <c r="C80" s="89"/>
      <c r="D80" s="90"/>
      <c r="E80" s="90"/>
      <c r="F80" s="90"/>
      <c r="G80" s="161"/>
      <c r="H80" s="161"/>
      <c r="I80" s="102"/>
      <c r="J80" s="102"/>
      <c r="K80" s="102"/>
      <c r="L80" s="102"/>
      <c r="M80" s="108"/>
    </row>
    <row r="81" spans="1:13" ht="12.75" thickBot="1">
      <c r="A81" s="92"/>
      <c r="B81" s="280" t="s">
        <v>326</v>
      </c>
      <c r="C81" s="281"/>
      <c r="D81" s="282"/>
      <c r="E81" s="282"/>
      <c r="F81" s="283">
        <f>SUM(F73:F80)</f>
        <v>0</v>
      </c>
      <c r="G81" s="284"/>
      <c r="H81" s="283" t="e">
        <f>SUM(H73:H80)</f>
        <v>#VALUE!</v>
      </c>
      <c r="I81" s="284"/>
      <c r="J81" s="283" t="e">
        <f>SUM(J73:J80)</f>
        <v>#VALUE!</v>
      </c>
      <c r="K81" s="284"/>
      <c r="L81" s="283" t="e">
        <f>SUM(L73:L80)</f>
        <v>#REF!</v>
      </c>
      <c r="M81" s="108"/>
    </row>
    <row r="82" spans="1:13" ht="12.75" thickBot="1">
      <c r="A82" s="87"/>
      <c r="B82" s="285" t="s">
        <v>174</v>
      </c>
      <c r="C82" s="286" t="s">
        <v>296</v>
      </c>
      <c r="D82" s="287">
        <f>DATOS!E192</f>
        <v>18.5</v>
      </c>
      <c r="E82" s="288"/>
      <c r="F82" s="288">
        <f>ROUND(F$81*$D$82/100,0)</f>
        <v>0</v>
      </c>
      <c r="G82" s="289"/>
      <c r="H82" s="288" t="e">
        <f>ROUND(H$81*$D$82/100,0)</f>
        <v>#VALUE!</v>
      </c>
      <c r="I82" s="289"/>
      <c r="J82" s="288" t="e">
        <f>ROUND(J$81*$D$82/100,0)</f>
        <v>#VALUE!</v>
      </c>
      <c r="K82" s="289"/>
      <c r="L82" s="288" t="e">
        <f>ROUND(L$81*$D$82/100,0)</f>
        <v>#REF!</v>
      </c>
      <c r="M82" s="108"/>
    </row>
    <row r="83" spans="1:13" ht="12.75" thickBot="1">
      <c r="A83" s="87"/>
      <c r="B83" s="280" t="s">
        <v>327</v>
      </c>
      <c r="C83" s="281"/>
      <c r="D83" s="282"/>
      <c r="E83" s="282"/>
      <c r="F83" s="283">
        <f>F82</f>
        <v>0</v>
      </c>
      <c r="G83" s="284"/>
      <c r="H83" s="283" t="e">
        <f>H82</f>
        <v>#VALUE!</v>
      </c>
      <c r="I83" s="284"/>
      <c r="J83" s="283" t="e">
        <f>J82</f>
        <v>#VALUE!</v>
      </c>
      <c r="K83" s="284"/>
      <c r="L83" s="283" t="e">
        <f>L82</f>
        <v>#REF!</v>
      </c>
      <c r="M83" s="108"/>
    </row>
    <row r="84" spans="1:13" ht="12.75" thickBot="1">
      <c r="A84" s="87"/>
      <c r="B84" s="1150"/>
      <c r="C84" s="1150"/>
      <c r="D84" s="293"/>
      <c r="E84" s="293"/>
      <c r="F84" s="293"/>
      <c r="G84" s="279"/>
      <c r="H84" s="293"/>
      <c r="I84" s="279"/>
      <c r="J84" s="293"/>
      <c r="K84" s="279"/>
      <c r="L84" s="293"/>
      <c r="M84" s="108"/>
    </row>
    <row r="85" spans="1:13" ht="12.75" thickBot="1">
      <c r="A85" s="87"/>
      <c r="B85" s="280" t="s">
        <v>328</v>
      </c>
      <c r="C85" s="281"/>
      <c r="D85" s="282"/>
      <c r="E85" s="282"/>
      <c r="F85" s="283">
        <f>F81+F83</f>
        <v>0</v>
      </c>
      <c r="G85" s="284"/>
      <c r="H85" s="283" t="e">
        <f>H81+H83</f>
        <v>#VALUE!</v>
      </c>
      <c r="I85" s="284"/>
      <c r="J85" s="283" t="e">
        <f>J81+J83</f>
        <v>#VALUE!</v>
      </c>
      <c r="K85" s="284"/>
      <c r="L85" s="283" t="e">
        <f>L81+L83</f>
        <v>#REF!</v>
      </c>
      <c r="M85" s="108"/>
    </row>
    <row r="86" spans="1:13" ht="25.15" customHeight="1" thickBot="1">
      <c r="A86" s="87"/>
      <c r="B86" s="1151"/>
      <c r="C86" s="1151"/>
      <c r="D86" s="293"/>
      <c r="E86" s="293"/>
      <c r="F86" s="293"/>
      <c r="G86" s="279"/>
      <c r="H86" s="293"/>
      <c r="I86" s="279"/>
      <c r="J86" s="293"/>
      <c r="K86" s="279"/>
      <c r="L86" s="293"/>
      <c r="M86" s="108"/>
    </row>
    <row r="87" spans="1:13" ht="12.75" thickBot="1">
      <c r="A87" s="87"/>
      <c r="B87" s="280" t="s">
        <v>325</v>
      </c>
      <c r="C87" s="281"/>
      <c r="D87" s="282"/>
      <c r="E87" s="282"/>
      <c r="F87" s="283">
        <f>F70</f>
        <v>0</v>
      </c>
      <c r="G87" s="284"/>
      <c r="H87" s="283" t="e">
        <f>H70</f>
        <v>#VALUE!</v>
      </c>
      <c r="I87" s="284"/>
      <c r="J87" s="283" t="e">
        <f>J70</f>
        <v>#VALUE!</v>
      </c>
      <c r="K87" s="284"/>
      <c r="L87" s="283" t="e">
        <f>L70</f>
        <v>#REF!</v>
      </c>
      <c r="M87" s="108"/>
    </row>
    <row r="88" spans="1:13" ht="5.45" customHeight="1" thickBot="1">
      <c r="A88" s="87"/>
      <c r="B88" s="1151"/>
      <c r="C88" s="1151"/>
      <c r="D88" s="293"/>
      <c r="E88" s="293"/>
      <c r="F88" s="293"/>
      <c r="G88" s="279"/>
      <c r="H88" s="293"/>
      <c r="I88" s="279"/>
      <c r="J88" s="293"/>
      <c r="K88" s="279"/>
      <c r="L88" s="293"/>
      <c r="M88" s="108"/>
    </row>
    <row r="89" spans="1:13" ht="12.75" thickBot="1">
      <c r="A89" s="87"/>
      <c r="B89" s="280" t="s">
        <v>328</v>
      </c>
      <c r="C89" s="281"/>
      <c r="D89" s="282"/>
      <c r="E89" s="282"/>
      <c r="F89" s="283">
        <f>F85</f>
        <v>0</v>
      </c>
      <c r="G89" s="284"/>
      <c r="H89" s="283" t="e">
        <f>H85</f>
        <v>#VALUE!</v>
      </c>
      <c r="I89" s="284"/>
      <c r="J89" s="283" t="e">
        <f>J85</f>
        <v>#VALUE!</v>
      </c>
      <c r="K89" s="284"/>
      <c r="L89" s="283" t="e">
        <f>L85</f>
        <v>#REF!</v>
      </c>
      <c r="M89" s="108"/>
    </row>
    <row r="90" spans="1:13" ht="12.75" thickBot="1">
      <c r="A90" s="87"/>
      <c r="B90" s="976"/>
      <c r="C90" s="976"/>
      <c r="D90" s="144"/>
      <c r="E90" s="90"/>
      <c r="F90" s="90"/>
      <c r="G90" s="161"/>
      <c r="H90" s="156"/>
      <c r="I90" s="161"/>
      <c r="J90" s="156"/>
      <c r="K90" s="161"/>
      <c r="L90" s="156"/>
      <c r="M90" s="108"/>
    </row>
    <row r="91" spans="1:13" ht="15" customHeight="1" thickBot="1">
      <c r="A91" s="87"/>
      <c r="B91" s="157" t="s">
        <v>117</v>
      </c>
      <c r="C91" s="158"/>
      <c r="D91" s="159"/>
      <c r="E91" s="159"/>
      <c r="F91" s="160">
        <f>F87+F89</f>
        <v>0</v>
      </c>
      <c r="G91" s="163"/>
      <c r="H91" s="164" t="e">
        <f>H87+H89</f>
        <v>#VALUE!</v>
      </c>
      <c r="I91" s="165"/>
      <c r="J91" s="166" t="e">
        <f>J87+J89</f>
        <v>#VALUE!</v>
      </c>
      <c r="K91" s="167"/>
      <c r="L91" s="168" t="e">
        <f>L87+L89</f>
        <v>#REF!</v>
      </c>
      <c r="M91" s="108"/>
    </row>
    <row r="92" spans="1:13">
      <c r="A92" s="87"/>
      <c r="B92" s="88"/>
      <c r="C92" s="89"/>
      <c r="D92" s="90"/>
      <c r="E92" s="90"/>
      <c r="F92" s="90"/>
      <c r="G92" s="162"/>
      <c r="H92" s="162"/>
      <c r="I92" s="102"/>
      <c r="K92" s="102"/>
      <c r="L92" s="102"/>
      <c r="M92" s="108"/>
    </row>
    <row r="93" spans="1:13">
      <c r="A93" s="87"/>
      <c r="B93" s="88"/>
      <c r="C93" s="89"/>
      <c r="D93" s="90"/>
      <c r="E93" s="90"/>
      <c r="F93" s="90"/>
      <c r="G93" s="102"/>
      <c r="H93" s="102"/>
      <c r="I93" s="102"/>
      <c r="J93" s="102"/>
      <c r="K93" s="102"/>
      <c r="L93" s="102"/>
      <c r="M93" s="108"/>
    </row>
    <row r="94" spans="1:13">
      <c r="A94" s="84"/>
      <c r="B94" s="93"/>
      <c r="C94" s="84"/>
      <c r="D94" s="86"/>
      <c r="E94" s="86"/>
      <c r="F94" s="86"/>
      <c r="G94" s="85"/>
      <c r="H94" s="85"/>
      <c r="I94" s="85"/>
      <c r="J94" s="85"/>
      <c r="K94" s="85"/>
      <c r="L94" s="85"/>
      <c r="M94" s="108"/>
    </row>
    <row r="95" spans="1:13">
      <c r="B95" s="111" t="s">
        <v>251</v>
      </c>
      <c r="C95" s="84"/>
      <c r="D95" s="86"/>
      <c r="E95" s="86"/>
      <c r="F95" s="86"/>
      <c r="G95" s="85"/>
      <c r="H95" s="111" t="s">
        <v>263</v>
      </c>
      <c r="I95" s="85"/>
      <c r="J95" s="85"/>
      <c r="K95" s="85"/>
      <c r="L95" s="85"/>
      <c r="M95" s="108"/>
    </row>
    <row r="96" spans="1:13">
      <c r="A96" s="84"/>
      <c r="B96" s="113" t="s">
        <v>252</v>
      </c>
      <c r="C96" s="121"/>
      <c r="D96" s="123" t="s">
        <v>259</v>
      </c>
      <c r="E96" s="112"/>
      <c r="F96" s="112">
        <f>F7</f>
        <v>0</v>
      </c>
      <c r="G96" s="85"/>
      <c r="H96" s="117" t="s">
        <v>13</v>
      </c>
      <c r="I96" s="118"/>
      <c r="J96" s="120" t="s">
        <v>259</v>
      </c>
      <c r="K96" s="112"/>
      <c r="L96" s="112">
        <f>DATOS!E48</f>
        <v>0</v>
      </c>
      <c r="M96" s="108"/>
    </row>
    <row r="97" spans="1:13">
      <c r="A97" s="84"/>
      <c r="B97" s="113" t="s">
        <v>257</v>
      </c>
      <c r="C97" s="121"/>
      <c r="D97" s="123" t="s">
        <v>259</v>
      </c>
      <c r="E97" s="112"/>
      <c r="F97" s="112">
        <f>F8</f>
        <v>30000000</v>
      </c>
      <c r="G97" s="85"/>
      <c r="H97" s="117" t="s">
        <v>260</v>
      </c>
      <c r="I97" s="118"/>
      <c r="J97" s="120" t="s">
        <v>259</v>
      </c>
      <c r="K97" s="112"/>
      <c r="L97" s="112">
        <v>50000000</v>
      </c>
      <c r="M97" s="108"/>
    </row>
    <row r="98" spans="1:13">
      <c r="A98" s="84"/>
      <c r="B98" s="113" t="s">
        <v>258</v>
      </c>
      <c r="C98" s="121"/>
      <c r="D98" s="123" t="s">
        <v>259</v>
      </c>
      <c r="E98" s="112"/>
      <c r="F98" s="112">
        <f>F9</f>
        <v>0</v>
      </c>
      <c r="G98" s="85"/>
      <c r="H98" s="117" t="s">
        <v>261</v>
      </c>
      <c r="I98" s="118"/>
      <c r="J98" s="120" t="s">
        <v>259</v>
      </c>
      <c r="K98" s="112"/>
      <c r="L98" s="112">
        <v>69873868</v>
      </c>
      <c r="M98" s="108"/>
    </row>
    <row r="99" spans="1:13">
      <c r="A99" s="84"/>
      <c r="B99" s="113" t="s">
        <v>253</v>
      </c>
      <c r="C99" s="121"/>
      <c r="D99" s="123" t="s">
        <v>259</v>
      </c>
      <c r="E99" s="112" t="e">
        <f>'ACTA PARCIAL No.1'!E99</f>
        <v>#VALUE!</v>
      </c>
      <c r="F99" s="112"/>
      <c r="G99" s="85"/>
      <c r="H99" s="117" t="s">
        <v>262</v>
      </c>
      <c r="I99" s="118"/>
      <c r="J99" s="120" t="s">
        <v>259</v>
      </c>
      <c r="K99" s="112" t="e">
        <f>ROUND(E99*DATOS!$I$48,0)</f>
        <v>#VALUE!</v>
      </c>
      <c r="L99" s="112"/>
      <c r="M99" s="108"/>
    </row>
    <row r="100" spans="1:13">
      <c r="A100" s="84"/>
      <c r="B100" s="113" t="s">
        <v>272</v>
      </c>
      <c r="C100" s="121"/>
      <c r="D100" s="123" t="s">
        <v>259</v>
      </c>
      <c r="E100" s="112" t="e">
        <f>#REF!</f>
        <v>#REF!</v>
      </c>
      <c r="F100" s="112"/>
      <c r="G100" s="85"/>
      <c r="H100" s="117" t="s">
        <v>273</v>
      </c>
      <c r="I100" s="118"/>
      <c r="J100" s="120" t="s">
        <v>259</v>
      </c>
      <c r="K100" s="112" t="e">
        <f>ROUND(E100*DATOS!$I$48,0)</f>
        <v>#REF!</v>
      </c>
      <c r="L100" s="112"/>
      <c r="M100" s="108"/>
    </row>
    <row r="101" spans="1:13">
      <c r="A101" s="84"/>
      <c r="B101" s="113" t="s">
        <v>297</v>
      </c>
      <c r="C101" s="121"/>
      <c r="D101" s="123" t="s">
        <v>259</v>
      </c>
      <c r="E101" s="112" t="e">
        <f>#REF!</f>
        <v>#REF!</v>
      </c>
      <c r="F101" s="112"/>
      <c r="G101" s="85"/>
      <c r="H101" s="117" t="s">
        <v>304</v>
      </c>
      <c r="I101" s="118"/>
      <c r="J101" s="120" t="s">
        <v>259</v>
      </c>
      <c r="K101" s="112" t="e">
        <f>ROUND(E101*DATOS!$I$48,0)</f>
        <v>#REF!</v>
      </c>
      <c r="L101" s="112"/>
      <c r="M101" s="108"/>
    </row>
    <row r="102" spans="1:13">
      <c r="A102" s="84"/>
      <c r="B102" s="113" t="s">
        <v>298</v>
      </c>
      <c r="C102" s="121"/>
      <c r="D102" s="123" t="s">
        <v>259</v>
      </c>
      <c r="E102" s="112" t="e">
        <f>'ACTA PARCIAL No.4'!E102</f>
        <v>#VALUE!</v>
      </c>
      <c r="F102" s="112"/>
      <c r="G102" s="85"/>
      <c r="H102" s="117" t="s">
        <v>305</v>
      </c>
      <c r="I102" s="118"/>
      <c r="J102" s="120" t="s">
        <v>259</v>
      </c>
      <c r="K102" s="112" t="e">
        <f>ROUND(E102*DATOS!$I$48,0)</f>
        <v>#VALUE!</v>
      </c>
      <c r="L102" s="112"/>
      <c r="M102" s="108"/>
    </row>
    <row r="103" spans="1:13">
      <c r="A103" s="84"/>
      <c r="B103" s="113" t="s">
        <v>299</v>
      </c>
      <c r="C103" s="121"/>
      <c r="D103" s="123" t="s">
        <v>259</v>
      </c>
      <c r="E103" s="112" t="e">
        <f>'ACTA PARCIAL No.5'!E103</f>
        <v>#VALUE!</v>
      </c>
      <c r="F103" s="112"/>
      <c r="G103" s="85"/>
      <c r="H103" s="117" t="s">
        <v>306</v>
      </c>
      <c r="I103" s="118"/>
      <c r="J103" s="120" t="s">
        <v>259</v>
      </c>
      <c r="K103" s="112" t="e">
        <f>ROUND(E103*DATOS!$I$48,0)</f>
        <v>#VALUE!</v>
      </c>
      <c r="L103" s="112"/>
      <c r="M103" s="108"/>
    </row>
    <row r="104" spans="1:13">
      <c r="A104" s="84"/>
      <c r="B104" s="113" t="s">
        <v>300</v>
      </c>
      <c r="C104" s="121"/>
      <c r="D104" s="123" t="s">
        <v>259</v>
      </c>
      <c r="E104" s="112" t="e">
        <f>'ACTA PARCIAL No.6'!E104</f>
        <v>#VALUE!</v>
      </c>
      <c r="F104" s="112"/>
      <c r="G104" s="85"/>
      <c r="H104" s="117" t="s">
        <v>307</v>
      </c>
      <c r="I104" s="118"/>
      <c r="J104" s="120" t="s">
        <v>259</v>
      </c>
      <c r="K104" s="112" t="e">
        <f>ROUND(E104*DATOS!$I$48,0)</f>
        <v>#VALUE!</v>
      </c>
      <c r="L104" s="112"/>
      <c r="M104" s="108"/>
    </row>
    <row r="105" spans="1:13">
      <c r="A105" s="84"/>
      <c r="B105" s="113" t="s">
        <v>301</v>
      </c>
      <c r="C105" s="121"/>
      <c r="D105" s="123" t="s">
        <v>259</v>
      </c>
      <c r="E105" s="112" t="e">
        <f>'ACTA PARCIAL No.7'!E105</f>
        <v>#VALUE!</v>
      </c>
      <c r="F105" s="112"/>
      <c r="G105" s="85"/>
      <c r="H105" s="117" t="s">
        <v>308</v>
      </c>
      <c r="I105" s="118"/>
      <c r="J105" s="120" t="s">
        <v>259</v>
      </c>
      <c r="K105" s="112" t="e">
        <f>ROUND(E105*DATOS!$I$48,0)</f>
        <v>#VALUE!</v>
      </c>
      <c r="L105" s="112"/>
      <c r="M105" s="108"/>
    </row>
    <row r="106" spans="1:13">
      <c r="A106" s="84"/>
      <c r="B106" s="113" t="s">
        <v>302</v>
      </c>
      <c r="C106" s="121"/>
      <c r="D106" s="123" t="s">
        <v>259</v>
      </c>
      <c r="E106" s="112" t="e">
        <f>'ACTA PARCIAL No.8'!E106</f>
        <v>#VALUE!</v>
      </c>
      <c r="F106" s="112"/>
      <c r="G106" s="85"/>
      <c r="H106" s="117" t="s">
        <v>309</v>
      </c>
      <c r="I106" s="118"/>
      <c r="J106" s="120" t="s">
        <v>259</v>
      </c>
      <c r="K106" s="112" t="e">
        <f>ROUND(E106*DATOS!$I$48,0)</f>
        <v>#VALUE!</v>
      </c>
      <c r="L106" s="112"/>
      <c r="M106" s="108"/>
    </row>
    <row r="107" spans="1:13">
      <c r="A107" s="84"/>
      <c r="B107" s="113" t="s">
        <v>303</v>
      </c>
      <c r="C107" s="121"/>
      <c r="D107" s="123" t="s">
        <v>259</v>
      </c>
      <c r="E107" s="112" t="e">
        <f>J91</f>
        <v>#VALUE!</v>
      </c>
      <c r="F107" s="112"/>
      <c r="G107" s="85"/>
      <c r="H107" s="117" t="s">
        <v>310</v>
      </c>
      <c r="I107" s="118"/>
      <c r="J107" s="120" t="s">
        <v>259</v>
      </c>
      <c r="K107" s="112" t="e">
        <f>ROUND(E107*DATOS!$I$48,0)</f>
        <v>#VALUE!</v>
      </c>
      <c r="L107" s="112"/>
      <c r="M107" s="108"/>
    </row>
    <row r="108" spans="1:13">
      <c r="A108" s="84"/>
      <c r="B108" s="113" t="s">
        <v>254</v>
      </c>
      <c r="C108" s="121"/>
      <c r="D108" s="123" t="s">
        <v>259</v>
      </c>
      <c r="E108" s="112" t="e">
        <f>F96+F97+F98-E99-E100-E101-E102-E103-E104-E105-E106-E107</f>
        <v>#VALUE!</v>
      </c>
      <c r="F108" s="112"/>
      <c r="G108" s="85"/>
      <c r="H108" s="117" t="s">
        <v>250</v>
      </c>
      <c r="I108" s="118"/>
      <c r="J108" s="120" t="s">
        <v>259</v>
      </c>
      <c r="K108" s="112" t="e">
        <f>L96+L97+L98-K99-K100-K101-K102-K103-K104-K105-K106-K107</f>
        <v>#VALUE!</v>
      </c>
      <c r="L108" s="112"/>
      <c r="M108" s="108"/>
    </row>
    <row r="109" spans="1:13">
      <c r="A109" s="84"/>
      <c r="B109" s="114" t="s">
        <v>255</v>
      </c>
      <c r="C109" s="121"/>
      <c r="D109" s="123" t="s">
        <v>259</v>
      </c>
      <c r="E109" s="112" t="e">
        <f>SUM(E96:E108)</f>
        <v>#VALUE!</v>
      </c>
      <c r="F109" s="112">
        <f>SUM(F96:F108)</f>
        <v>30000000</v>
      </c>
      <c r="G109" s="85"/>
      <c r="H109" s="119" t="s">
        <v>255</v>
      </c>
      <c r="I109" s="118"/>
      <c r="J109" s="120" t="s">
        <v>259</v>
      </c>
      <c r="K109" s="112" t="e">
        <f>SUM(K96:K108)</f>
        <v>#VALUE!</v>
      </c>
      <c r="L109" s="112">
        <f>SUM(L96:L108)</f>
        <v>119873868</v>
      </c>
      <c r="M109" s="108"/>
    </row>
    <row r="110" spans="1:13">
      <c r="A110" s="84"/>
      <c r="B110" s="93"/>
      <c r="C110" s="84"/>
      <c r="D110" s="86"/>
      <c r="E110" s="86"/>
      <c r="F110" s="86"/>
      <c r="G110" s="85"/>
      <c r="I110" s="85"/>
      <c r="J110" s="85"/>
      <c r="K110" s="85"/>
      <c r="L110" s="85"/>
      <c r="M110" s="108"/>
    </row>
    <row r="111" spans="1:13">
      <c r="A111" s="84"/>
      <c r="B111" s="113" t="s">
        <v>311</v>
      </c>
      <c r="C111" s="121"/>
      <c r="D111" s="122"/>
      <c r="E111" s="123" t="s">
        <v>259</v>
      </c>
      <c r="F111" s="112">
        <f>F96+F97+F98</f>
        <v>30000000</v>
      </c>
      <c r="G111" s="85"/>
      <c r="H111" s="117" t="s">
        <v>265</v>
      </c>
      <c r="I111" s="118"/>
      <c r="J111" s="126"/>
      <c r="K111" s="120" t="s">
        <v>259</v>
      </c>
      <c r="L111" s="112" t="e">
        <f>E107</f>
        <v>#VALUE!</v>
      </c>
      <c r="M111" s="108"/>
    </row>
    <row r="112" spans="1:13">
      <c r="A112" s="84"/>
      <c r="B112" s="113" t="s">
        <v>264</v>
      </c>
      <c r="C112" s="121"/>
      <c r="D112" s="122"/>
      <c r="E112" s="123" t="s">
        <v>259</v>
      </c>
      <c r="F112" s="112" t="e">
        <f>E99+E100+E101+E102+E103+E104+E105+E106+E107</f>
        <v>#VALUE!</v>
      </c>
      <c r="G112" s="85"/>
      <c r="H112" s="117" t="s">
        <v>266</v>
      </c>
      <c r="I112" s="118"/>
      <c r="J112" s="126"/>
      <c r="K112" s="120" t="s">
        <v>259</v>
      </c>
      <c r="L112" s="112" t="e">
        <f>K107</f>
        <v>#VALUE!</v>
      </c>
      <c r="M112" s="108"/>
    </row>
    <row r="113" spans="1:13">
      <c r="A113" s="84"/>
      <c r="B113" s="113" t="s">
        <v>274</v>
      </c>
      <c r="C113" s="121"/>
      <c r="D113" s="122"/>
      <c r="E113" s="123" t="s">
        <v>259</v>
      </c>
      <c r="F113" s="112" t="e">
        <f>K108</f>
        <v>#VALUE!</v>
      </c>
      <c r="G113" s="85"/>
      <c r="H113" s="85"/>
      <c r="I113" s="85"/>
      <c r="J113" s="125"/>
      <c r="K113" s="126"/>
      <c r="L113" s="122"/>
      <c r="M113" s="108"/>
    </row>
    <row r="114" spans="1:13">
      <c r="A114" s="84"/>
      <c r="B114" s="113" t="s">
        <v>254</v>
      </c>
      <c r="C114" s="121"/>
      <c r="D114" s="122"/>
      <c r="E114" s="123" t="s">
        <v>259</v>
      </c>
      <c r="F114" s="112" t="e">
        <f>E108</f>
        <v>#VALUE!</v>
      </c>
      <c r="G114" s="85"/>
      <c r="H114" s="119" t="s">
        <v>267</v>
      </c>
      <c r="I114" s="118"/>
      <c r="J114" s="126"/>
      <c r="K114" s="120" t="s">
        <v>259</v>
      </c>
      <c r="L114" s="116" t="e">
        <f>L111-L112</f>
        <v>#VALUE!</v>
      </c>
      <c r="M114" s="108"/>
    </row>
    <row r="115" spans="1:13">
      <c r="A115" s="84"/>
      <c r="B115" s="114" t="s">
        <v>256</v>
      </c>
      <c r="C115" s="121"/>
      <c r="D115" s="122"/>
      <c r="E115" s="123"/>
      <c r="F115" s="124" t="e">
        <f>F112/F111</f>
        <v>#VALUE!</v>
      </c>
      <c r="G115" s="85"/>
      <c r="H115" s="85"/>
      <c r="I115" s="85"/>
      <c r="J115" s="85"/>
      <c r="K115" s="85"/>
      <c r="L115" s="85"/>
      <c r="M115" s="108"/>
    </row>
    <row r="116" spans="1:13">
      <c r="A116" s="84"/>
      <c r="B116" s="93"/>
      <c r="C116" s="84"/>
      <c r="D116" s="86"/>
      <c r="E116" s="86"/>
      <c r="F116" s="86"/>
      <c r="G116" s="85"/>
      <c r="H116" s="85"/>
      <c r="I116" s="85"/>
      <c r="J116" s="85"/>
      <c r="K116" s="85"/>
      <c r="L116" s="85"/>
      <c r="M116" s="108"/>
    </row>
    <row r="117" spans="1:13" ht="12.75" thickBot="1">
      <c r="A117" s="84"/>
      <c r="B117" s="93"/>
      <c r="C117" s="84"/>
      <c r="D117" s="86"/>
      <c r="E117" s="86"/>
      <c r="F117" s="86"/>
      <c r="G117" s="85"/>
      <c r="H117" s="85"/>
      <c r="I117" s="85"/>
      <c r="J117" s="85"/>
      <c r="K117" s="85"/>
      <c r="L117" s="85"/>
      <c r="M117" s="108"/>
    </row>
    <row r="118" spans="1:13" ht="15" customHeight="1" thickBot="1">
      <c r="A118" s="84"/>
      <c r="B118" s="93" t="s">
        <v>268</v>
      </c>
      <c r="C118" s="1144"/>
      <c r="D118" s="1145"/>
      <c r="E118" s="1145"/>
      <c r="F118" s="1145"/>
      <c r="G118" s="1145"/>
      <c r="H118" s="1145"/>
      <c r="I118" s="1145"/>
      <c r="J118" s="1145"/>
      <c r="K118" s="1145"/>
      <c r="L118" s="1146"/>
      <c r="M118" s="108"/>
    </row>
    <row r="119" spans="1:13">
      <c r="A119" s="84"/>
      <c r="B119" s="93"/>
      <c r="C119" s="84"/>
      <c r="D119" s="86"/>
      <c r="E119" s="86"/>
      <c r="F119" s="86"/>
      <c r="G119" s="85"/>
      <c r="H119" s="85"/>
      <c r="I119" s="85"/>
      <c r="J119" s="85"/>
      <c r="K119" s="85"/>
      <c r="L119" s="85"/>
      <c r="M119" s="108"/>
    </row>
    <row r="120" spans="1:13">
      <c r="A120" s="84"/>
      <c r="B120" s="93"/>
      <c r="C120" s="84"/>
      <c r="D120" s="86"/>
      <c r="E120" s="86"/>
      <c r="F120" s="86"/>
      <c r="G120" s="85"/>
      <c r="H120" s="85"/>
      <c r="I120" s="85"/>
      <c r="J120" s="85"/>
      <c r="K120" s="85"/>
      <c r="L120" s="85"/>
      <c r="M120" s="108"/>
    </row>
    <row r="121" spans="1:13" ht="26.45" customHeight="1">
      <c r="A121" s="84"/>
      <c r="B121" s="1066" t="s">
        <v>269</v>
      </c>
      <c r="C121" s="1066"/>
      <c r="D121" s="1066"/>
      <c r="E121" s="1066"/>
      <c r="F121" s="1066"/>
      <c r="G121" s="1066"/>
      <c r="H121" s="1066"/>
      <c r="I121" s="1066"/>
      <c r="J121" s="1066"/>
      <c r="K121" s="1066"/>
      <c r="L121" s="1066"/>
      <c r="M121" s="108"/>
    </row>
    <row r="122" spans="1:13">
      <c r="A122" s="84"/>
      <c r="B122" s="94"/>
      <c r="C122" s="84"/>
      <c r="D122" s="86"/>
      <c r="E122" s="86"/>
      <c r="F122" s="86"/>
      <c r="G122" s="85"/>
      <c r="H122" s="85"/>
      <c r="I122" s="85"/>
      <c r="J122" s="85"/>
      <c r="K122" s="85"/>
      <c r="L122" s="85"/>
      <c r="M122" s="108"/>
    </row>
    <row r="123" spans="1:13">
      <c r="A123" s="84"/>
      <c r="B123" s="94"/>
      <c r="C123" s="84"/>
      <c r="D123" s="86"/>
      <c r="E123" s="86"/>
      <c r="F123" s="86"/>
      <c r="G123" s="85"/>
      <c r="H123" s="85"/>
      <c r="I123" s="85"/>
      <c r="J123" s="85"/>
      <c r="K123" s="85"/>
      <c r="L123" s="85"/>
      <c r="M123" s="108"/>
    </row>
    <row r="124" spans="1:13">
      <c r="A124" s="84"/>
      <c r="B124" s="94"/>
      <c r="C124" s="84"/>
      <c r="D124" s="86"/>
      <c r="E124" s="86"/>
      <c r="F124" s="86"/>
      <c r="G124" s="85"/>
      <c r="H124" s="85"/>
      <c r="I124" s="85"/>
      <c r="J124" s="85"/>
      <c r="K124" s="85"/>
      <c r="L124" s="85"/>
      <c r="M124" s="108"/>
    </row>
    <row r="125" spans="1:13">
      <c r="A125" s="84"/>
      <c r="B125" s="94"/>
      <c r="C125" s="84"/>
      <c r="D125" s="86"/>
      <c r="E125" s="86"/>
      <c r="F125" s="86"/>
      <c r="G125" s="85"/>
      <c r="H125" s="85"/>
      <c r="I125" s="85"/>
      <c r="J125" s="85"/>
      <c r="K125" s="85"/>
      <c r="L125" s="85"/>
      <c r="M125" s="108"/>
    </row>
    <row r="126" spans="1:13">
      <c r="A126" s="84"/>
      <c r="B126" s="94"/>
      <c r="C126" s="84"/>
      <c r="D126" s="86"/>
      <c r="E126" s="86"/>
      <c r="F126" s="86"/>
      <c r="G126" s="85"/>
      <c r="H126" s="85"/>
      <c r="I126" s="85"/>
      <c r="J126" s="85"/>
      <c r="K126" s="85"/>
      <c r="L126" s="85"/>
      <c r="M126" s="108"/>
    </row>
    <row r="127" spans="1:13">
      <c r="A127" s="84"/>
      <c r="B127" s="85" t="s">
        <v>271</v>
      </c>
      <c r="C127" s="84"/>
      <c r="D127" s="86"/>
      <c r="E127" s="85" t="s">
        <v>271</v>
      </c>
      <c r="F127" s="86"/>
      <c r="G127" s="85"/>
      <c r="H127" s="85"/>
      <c r="I127" s="85"/>
      <c r="J127" s="85" t="s">
        <v>271</v>
      </c>
      <c r="K127" s="85"/>
      <c r="L127" s="85"/>
      <c r="M127" s="108"/>
    </row>
    <row r="128" spans="1:13">
      <c r="A128" s="84"/>
      <c r="B128" s="115">
        <f>IF(DATOS!E16="Persona Jurídica",DATOS!G20,DATOS!G16)</f>
        <v>0</v>
      </c>
      <c r="C128" s="84"/>
      <c r="D128" s="86"/>
      <c r="E128" s="128">
        <f>IF(DATOS!E10="CONTRATO DE OBRA",IF(DATOS!E24="Persona Jurídica",DATOS!G28,DATOS!G24),DATOS!G30)</f>
        <v>0</v>
      </c>
      <c r="F128" s="86"/>
      <c r="G128" s="85"/>
      <c r="H128" s="85"/>
      <c r="I128" s="85"/>
      <c r="J128" s="115">
        <f>DATOS!E42</f>
        <v>0</v>
      </c>
      <c r="K128" s="85"/>
      <c r="L128" s="85"/>
      <c r="M128" s="108"/>
    </row>
    <row r="129" spans="1:13">
      <c r="A129" s="84"/>
      <c r="B129" s="85" t="str">
        <f>IF(DATOS!E16="Persona Jurídica",DATOS!G16,"CONTRATISTA")</f>
        <v>CONTRATISTA</v>
      </c>
      <c r="C129" s="84"/>
      <c r="D129" s="86"/>
      <c r="E129" s="127" t="str">
        <f>IF(DATOS!E24="Persona Jurídica",DATOS!G24,"INTERVENTOR")</f>
        <v>INTERVENTOR</v>
      </c>
      <c r="F129" s="86"/>
      <c r="G129" s="85"/>
      <c r="H129" s="85"/>
      <c r="I129" s="85"/>
      <c r="J129" s="85" t="s">
        <v>330</v>
      </c>
      <c r="K129" s="85"/>
      <c r="L129" s="85"/>
      <c r="M129" s="108"/>
    </row>
    <row r="130" spans="1:13">
      <c r="A130" s="84"/>
      <c r="B130" s="85" t="str">
        <f>IF(DATOS!E16="Persona jurídica","CONTRATISTA"," ")</f>
        <v xml:space="preserve"> </v>
      </c>
      <c r="C130" s="84"/>
      <c r="D130" s="86"/>
      <c r="E130" s="127" t="str">
        <f>IF(DATOS!E24="Persona jurídica","INTERVENTOR"," ")</f>
        <v xml:space="preserve"> </v>
      </c>
      <c r="F130" s="86"/>
      <c r="G130" s="85"/>
      <c r="H130" s="85"/>
      <c r="I130" s="85"/>
      <c r="J130" s="85" t="s">
        <v>270</v>
      </c>
      <c r="K130" s="85"/>
      <c r="L130" s="85"/>
      <c r="M130" s="108"/>
    </row>
    <row r="131" spans="1:13">
      <c r="A131" s="84"/>
      <c r="B131" s="85"/>
      <c r="C131" s="84"/>
      <c r="D131" s="86"/>
      <c r="E131" s="86"/>
      <c r="F131" s="86"/>
      <c r="G131" s="85"/>
      <c r="H131" s="85"/>
      <c r="I131" s="85"/>
      <c r="J131" s="85"/>
      <c r="K131" s="85"/>
      <c r="L131" s="85"/>
      <c r="M131" s="108"/>
    </row>
    <row r="132" spans="1:13">
      <c r="A132" s="84"/>
      <c r="B132" s="85"/>
      <c r="C132" s="84"/>
      <c r="D132" s="86"/>
      <c r="E132" s="86"/>
      <c r="F132" s="86"/>
      <c r="G132" s="85"/>
      <c r="H132" s="85"/>
      <c r="I132" s="85"/>
      <c r="J132" s="85"/>
      <c r="K132" s="85"/>
      <c r="L132" s="85"/>
      <c r="M132" s="108"/>
    </row>
    <row r="133" spans="1:13">
      <c r="A133" s="84"/>
      <c r="B133" s="85"/>
      <c r="C133" s="84"/>
      <c r="D133" s="86"/>
      <c r="E133" s="86"/>
      <c r="F133" s="86"/>
      <c r="G133" s="85"/>
      <c r="H133" s="85"/>
      <c r="I133" s="85"/>
      <c r="J133" s="85"/>
      <c r="K133" s="85"/>
      <c r="L133" s="85"/>
      <c r="M133" s="108"/>
    </row>
    <row r="134" spans="1:13">
      <c r="A134" s="84"/>
      <c r="B134" s="85"/>
      <c r="C134" s="84"/>
      <c r="D134" s="86"/>
      <c r="E134" s="86"/>
      <c r="F134" s="86"/>
      <c r="G134" s="85"/>
      <c r="H134" s="85"/>
      <c r="I134" s="85"/>
      <c r="J134" s="85"/>
      <c r="K134" s="85"/>
      <c r="L134" s="85"/>
      <c r="M134" s="108"/>
    </row>
    <row r="135" spans="1:13">
      <c r="A135" s="84"/>
      <c r="B135" s="85"/>
      <c r="C135" s="84"/>
      <c r="D135" s="86"/>
      <c r="E135" s="86"/>
      <c r="F135" s="86"/>
      <c r="G135" s="85"/>
      <c r="H135" s="85"/>
      <c r="I135" s="85"/>
      <c r="J135" s="85"/>
      <c r="K135" s="85"/>
      <c r="L135" s="85"/>
      <c r="M135" s="108"/>
    </row>
    <row r="136" spans="1:13">
      <c r="A136" s="84"/>
      <c r="B136" s="85"/>
      <c r="C136" s="84"/>
      <c r="D136" s="86"/>
      <c r="E136" s="86"/>
      <c r="F136" s="86"/>
      <c r="G136" s="85"/>
      <c r="H136" s="85"/>
      <c r="I136" s="85"/>
      <c r="J136" s="85"/>
      <c r="K136" s="85"/>
      <c r="L136" s="85"/>
      <c r="M136" s="108"/>
    </row>
    <row r="137" spans="1:13">
      <c r="A137" s="84"/>
      <c r="B137" s="85"/>
      <c r="C137" s="84"/>
      <c r="D137" s="86"/>
      <c r="E137" s="86"/>
      <c r="F137" s="86"/>
      <c r="G137" s="85"/>
      <c r="H137" s="85"/>
      <c r="I137" s="85"/>
      <c r="J137" s="85"/>
      <c r="K137" s="85"/>
      <c r="L137" s="85"/>
      <c r="M137" s="108"/>
    </row>
    <row r="138" spans="1:13">
      <c r="A138" s="84"/>
      <c r="B138" s="85"/>
      <c r="C138" s="84"/>
      <c r="D138" s="86"/>
      <c r="E138" s="86"/>
      <c r="F138" s="86"/>
      <c r="G138" s="85"/>
      <c r="H138" s="85"/>
      <c r="I138" s="85"/>
      <c r="J138" s="85"/>
      <c r="K138" s="85"/>
      <c r="L138" s="85"/>
      <c r="M138" s="108"/>
    </row>
    <row r="139" spans="1:13">
      <c r="A139" s="84"/>
      <c r="B139" s="85"/>
      <c r="C139" s="84"/>
      <c r="D139" s="86"/>
      <c r="E139" s="86"/>
      <c r="F139" s="86"/>
      <c r="G139" s="85"/>
      <c r="H139" s="85"/>
      <c r="I139" s="85"/>
      <c r="J139" s="85"/>
      <c r="K139" s="85"/>
      <c r="L139" s="85"/>
      <c r="M139" s="108"/>
    </row>
    <row r="140" spans="1:13">
      <c r="A140" s="84"/>
      <c r="B140" s="85"/>
      <c r="C140" s="84"/>
      <c r="D140" s="86"/>
      <c r="E140" s="86"/>
      <c r="F140" s="86"/>
      <c r="G140" s="85"/>
      <c r="H140" s="85"/>
      <c r="I140" s="85"/>
      <c r="J140" s="85"/>
      <c r="K140" s="85"/>
      <c r="L140" s="85"/>
      <c r="M140" s="108"/>
    </row>
    <row r="141" spans="1:13">
      <c r="A141" s="84"/>
      <c r="B141" s="85"/>
      <c r="C141" s="84"/>
      <c r="D141" s="86"/>
      <c r="E141" s="86"/>
      <c r="F141" s="86"/>
      <c r="G141" s="85"/>
      <c r="H141" s="85"/>
      <c r="I141" s="85"/>
      <c r="J141" s="85"/>
      <c r="K141" s="85"/>
      <c r="L141" s="85"/>
      <c r="M141" s="108"/>
    </row>
    <row r="142" spans="1:13">
      <c r="A142" s="84"/>
      <c r="B142" s="85"/>
      <c r="C142" s="84"/>
      <c r="D142" s="86"/>
      <c r="E142" s="86"/>
      <c r="F142" s="86"/>
      <c r="G142" s="85"/>
      <c r="H142" s="85"/>
      <c r="I142" s="85"/>
      <c r="J142" s="85"/>
      <c r="K142" s="85"/>
      <c r="L142" s="85"/>
      <c r="M142" s="108"/>
    </row>
    <row r="143" spans="1:13">
      <c r="A143" s="84"/>
      <c r="B143" s="85"/>
      <c r="C143" s="84"/>
      <c r="D143" s="86"/>
      <c r="E143" s="86"/>
      <c r="F143" s="86"/>
      <c r="G143" s="85"/>
      <c r="H143" s="85"/>
      <c r="I143" s="85"/>
      <c r="J143" s="85"/>
      <c r="K143" s="85"/>
      <c r="L143" s="85"/>
      <c r="M143" s="108"/>
    </row>
    <row r="144" spans="1:13">
      <c r="A144" s="84"/>
      <c r="B144" s="85"/>
      <c r="C144" s="84"/>
      <c r="D144" s="86"/>
      <c r="E144" s="86"/>
      <c r="F144" s="86"/>
      <c r="G144" s="85"/>
      <c r="H144" s="85"/>
      <c r="I144" s="85"/>
      <c r="J144" s="85"/>
      <c r="K144" s="85"/>
      <c r="L144" s="85"/>
      <c r="M144" s="108"/>
    </row>
    <row r="145" spans="1:13">
      <c r="A145" s="84"/>
      <c r="B145" s="85"/>
      <c r="C145" s="84"/>
      <c r="D145" s="86"/>
      <c r="E145" s="86"/>
      <c r="F145" s="86"/>
      <c r="G145" s="85"/>
      <c r="H145" s="85"/>
      <c r="I145" s="85"/>
      <c r="J145" s="85"/>
      <c r="K145" s="85"/>
      <c r="L145" s="85"/>
      <c r="M145" s="108"/>
    </row>
    <row r="146" spans="1:13">
      <c r="A146" s="84"/>
      <c r="B146" s="85"/>
      <c r="C146" s="84"/>
      <c r="D146" s="86"/>
      <c r="E146" s="86"/>
      <c r="F146" s="86"/>
      <c r="G146" s="85"/>
      <c r="H146" s="85"/>
      <c r="I146" s="85"/>
      <c r="J146" s="85"/>
      <c r="K146" s="85"/>
      <c r="L146" s="85"/>
      <c r="M146" s="108"/>
    </row>
    <row r="147" spans="1:13">
      <c r="A147" s="84"/>
      <c r="B147" s="85"/>
      <c r="C147" s="84"/>
      <c r="D147" s="86"/>
      <c r="E147" s="86"/>
      <c r="F147" s="86"/>
      <c r="G147" s="85"/>
      <c r="H147" s="85"/>
      <c r="I147" s="85"/>
      <c r="J147" s="85"/>
      <c r="K147" s="85"/>
      <c r="L147" s="85"/>
      <c r="M147" s="108"/>
    </row>
    <row r="148" spans="1:13">
      <c r="A148" s="84"/>
      <c r="B148" s="85"/>
      <c r="C148" s="84"/>
      <c r="D148" s="86"/>
      <c r="E148" s="86"/>
      <c r="F148" s="86"/>
      <c r="G148" s="85"/>
      <c r="H148" s="85"/>
      <c r="I148" s="85"/>
      <c r="J148" s="85"/>
      <c r="K148" s="85"/>
      <c r="L148" s="85"/>
      <c r="M148" s="108"/>
    </row>
    <row r="149" spans="1:13">
      <c r="A149" s="84"/>
      <c r="B149" s="85"/>
      <c r="C149" s="84"/>
      <c r="D149" s="86"/>
      <c r="E149" s="86"/>
      <c r="F149" s="86"/>
      <c r="G149" s="85"/>
      <c r="H149" s="85"/>
      <c r="I149" s="85"/>
      <c r="J149" s="85"/>
      <c r="K149" s="85"/>
      <c r="L149" s="85"/>
      <c r="M149" s="108"/>
    </row>
    <row r="150" spans="1:13">
      <c r="A150" s="84"/>
      <c r="B150" s="85"/>
      <c r="C150" s="84"/>
      <c r="D150" s="86"/>
      <c r="E150" s="86"/>
      <c r="F150" s="86"/>
      <c r="G150" s="85"/>
      <c r="H150" s="85"/>
      <c r="I150" s="85"/>
      <c r="J150" s="85"/>
      <c r="K150" s="85"/>
      <c r="L150" s="85"/>
      <c r="M150" s="108"/>
    </row>
    <row r="151" spans="1:13">
      <c r="A151" s="84"/>
      <c r="B151" s="85"/>
      <c r="C151" s="84"/>
      <c r="D151" s="86"/>
      <c r="E151" s="86"/>
      <c r="F151" s="86"/>
      <c r="G151" s="85"/>
      <c r="H151" s="85"/>
      <c r="I151" s="85"/>
      <c r="J151" s="85"/>
      <c r="K151" s="85"/>
      <c r="L151" s="85"/>
      <c r="M151" s="108"/>
    </row>
    <row r="152" spans="1:13">
      <c r="A152" s="84"/>
      <c r="B152" s="85"/>
      <c r="C152" s="84"/>
      <c r="D152" s="86"/>
      <c r="E152" s="86"/>
      <c r="F152" s="86"/>
      <c r="G152" s="85"/>
      <c r="H152" s="85"/>
      <c r="I152" s="85"/>
      <c r="J152" s="85"/>
      <c r="K152" s="85"/>
      <c r="L152" s="85"/>
      <c r="M152" s="108"/>
    </row>
    <row r="153" spans="1:13">
      <c r="A153" s="84"/>
      <c r="B153" s="85"/>
      <c r="C153" s="84"/>
      <c r="D153" s="86"/>
      <c r="E153" s="86"/>
      <c r="F153" s="86"/>
      <c r="G153" s="85"/>
      <c r="H153" s="85"/>
      <c r="I153" s="85"/>
      <c r="J153" s="85"/>
      <c r="K153" s="85"/>
      <c r="L153" s="85"/>
      <c r="M153" s="108"/>
    </row>
    <row r="154" spans="1:13">
      <c r="A154" s="84"/>
      <c r="B154" s="85"/>
      <c r="C154" s="84"/>
      <c r="D154" s="86"/>
      <c r="E154" s="86"/>
      <c r="F154" s="86"/>
      <c r="G154" s="85"/>
      <c r="H154" s="85"/>
      <c r="I154" s="85"/>
      <c r="J154" s="85"/>
      <c r="K154" s="85"/>
      <c r="L154" s="85"/>
      <c r="M154" s="108"/>
    </row>
    <row r="155" spans="1:13">
      <c r="A155" s="84"/>
      <c r="B155" s="85"/>
      <c r="C155" s="84"/>
      <c r="D155" s="86"/>
      <c r="E155" s="86"/>
      <c r="F155" s="86"/>
      <c r="G155" s="85"/>
      <c r="H155" s="85"/>
      <c r="I155" s="85"/>
      <c r="J155" s="85"/>
      <c r="K155" s="85"/>
      <c r="L155" s="85"/>
      <c r="M155" s="108"/>
    </row>
    <row r="156" spans="1:13">
      <c r="A156" s="84"/>
      <c r="B156" s="85"/>
      <c r="C156" s="84"/>
      <c r="D156" s="86"/>
      <c r="E156" s="86"/>
      <c r="F156" s="86"/>
      <c r="G156" s="85"/>
      <c r="H156" s="85"/>
      <c r="I156" s="85"/>
      <c r="J156" s="85"/>
      <c r="K156" s="85"/>
      <c r="L156" s="85"/>
      <c r="M156" s="108"/>
    </row>
    <row r="157" spans="1:13">
      <c r="A157" s="84"/>
      <c r="B157" s="85"/>
      <c r="C157" s="84"/>
      <c r="D157" s="86"/>
      <c r="E157" s="86"/>
      <c r="F157" s="86"/>
      <c r="G157" s="85"/>
      <c r="H157" s="85"/>
      <c r="I157" s="85"/>
      <c r="J157" s="85"/>
      <c r="K157" s="85"/>
      <c r="L157" s="85"/>
      <c r="M157" s="108"/>
    </row>
    <row r="158" spans="1:13">
      <c r="A158" s="84"/>
      <c r="B158" s="85"/>
      <c r="C158" s="84"/>
      <c r="D158" s="86"/>
      <c r="E158" s="86"/>
      <c r="F158" s="86"/>
      <c r="G158" s="85"/>
      <c r="H158" s="85"/>
      <c r="I158" s="85"/>
      <c r="J158" s="85"/>
      <c r="K158" s="85"/>
      <c r="L158" s="85"/>
      <c r="M158" s="108"/>
    </row>
    <row r="159" spans="1:13">
      <c r="A159" s="84"/>
      <c r="B159" s="85"/>
      <c r="C159" s="84"/>
      <c r="D159" s="86"/>
      <c r="E159" s="86"/>
      <c r="F159" s="86"/>
      <c r="G159" s="85"/>
      <c r="H159" s="85"/>
      <c r="I159" s="85"/>
      <c r="J159" s="85"/>
      <c r="K159" s="85"/>
      <c r="L159" s="85"/>
      <c r="M159" s="108"/>
    </row>
    <row r="160" spans="1:13">
      <c r="A160" s="84"/>
      <c r="B160" s="85"/>
      <c r="C160" s="84"/>
      <c r="D160" s="86"/>
      <c r="E160" s="86"/>
      <c r="F160" s="86"/>
      <c r="G160" s="85"/>
      <c r="H160" s="85"/>
      <c r="I160" s="85"/>
      <c r="J160" s="85"/>
      <c r="K160" s="85"/>
      <c r="L160" s="85"/>
      <c r="M160" s="108"/>
    </row>
    <row r="161" spans="1:13">
      <c r="A161" s="84"/>
      <c r="B161" s="85"/>
      <c r="C161" s="84"/>
      <c r="D161" s="86"/>
      <c r="E161" s="86"/>
      <c r="F161" s="86"/>
      <c r="G161" s="85"/>
      <c r="H161" s="85"/>
      <c r="I161" s="85"/>
      <c r="J161" s="85"/>
      <c r="K161" s="85"/>
      <c r="L161" s="85"/>
      <c r="M161" s="108"/>
    </row>
    <row r="162" spans="1:13">
      <c r="A162" s="84"/>
      <c r="B162" s="85"/>
      <c r="C162" s="84"/>
      <c r="D162" s="86"/>
      <c r="E162" s="86"/>
      <c r="F162" s="86"/>
      <c r="G162" s="85"/>
      <c r="H162" s="85"/>
      <c r="I162" s="85"/>
      <c r="J162" s="85"/>
      <c r="K162" s="85"/>
      <c r="L162" s="85"/>
      <c r="M162" s="108"/>
    </row>
    <row r="163" spans="1:13">
      <c r="A163" s="84"/>
      <c r="B163" s="85"/>
      <c r="C163" s="84"/>
      <c r="D163" s="86"/>
      <c r="E163" s="86"/>
      <c r="F163" s="86"/>
      <c r="G163" s="85"/>
      <c r="H163" s="85"/>
      <c r="I163" s="85"/>
      <c r="J163" s="85"/>
      <c r="K163" s="85"/>
      <c r="L163" s="85"/>
      <c r="M163" s="108"/>
    </row>
    <row r="164" spans="1:13">
      <c r="A164" s="84"/>
      <c r="B164" s="85"/>
      <c r="C164" s="84"/>
      <c r="D164" s="86"/>
      <c r="E164" s="86"/>
      <c r="F164" s="86"/>
      <c r="G164" s="85"/>
      <c r="H164" s="85"/>
      <c r="I164" s="85"/>
      <c r="J164" s="85"/>
      <c r="K164" s="85"/>
      <c r="L164" s="85"/>
      <c r="M164" s="108"/>
    </row>
    <row r="165" spans="1:13">
      <c r="A165" s="84"/>
      <c r="B165" s="85"/>
      <c r="C165" s="84"/>
      <c r="D165" s="86"/>
      <c r="E165" s="86"/>
      <c r="F165" s="86"/>
      <c r="G165" s="85"/>
      <c r="H165" s="85"/>
      <c r="I165" s="85"/>
      <c r="J165" s="85"/>
      <c r="K165" s="85"/>
      <c r="L165" s="85"/>
      <c r="M165" s="108"/>
    </row>
  </sheetData>
  <mergeCells count="31">
    <mergeCell ref="B121:L121"/>
    <mergeCell ref="B69:C69"/>
    <mergeCell ref="B84:C84"/>
    <mergeCell ref="B86:C86"/>
    <mergeCell ref="B88:C88"/>
    <mergeCell ref="B90:C90"/>
    <mergeCell ref="C118:L118"/>
    <mergeCell ref="K12:L13"/>
    <mergeCell ref="F13:G13"/>
    <mergeCell ref="A15:A16"/>
    <mergeCell ref="B15:B16"/>
    <mergeCell ref="C15:F15"/>
    <mergeCell ref="G15:H15"/>
    <mergeCell ref="I15:J15"/>
    <mergeCell ref="K15:L15"/>
    <mergeCell ref="A10:A13"/>
    <mergeCell ref="B10:B13"/>
    <mergeCell ref="F10:G10"/>
    <mergeCell ref="F11:G11"/>
    <mergeCell ref="F12:G12"/>
    <mergeCell ref="K4:L11"/>
    <mergeCell ref="A1:B9"/>
    <mergeCell ref="C1:J1"/>
    <mergeCell ref="F7:G7"/>
    <mergeCell ref="F8:G8"/>
    <mergeCell ref="F9:G9"/>
    <mergeCell ref="F2:G2"/>
    <mergeCell ref="F3:G3"/>
    <mergeCell ref="F4:G4"/>
    <mergeCell ref="F5:G5"/>
    <mergeCell ref="F6:G6"/>
  </mergeCells>
  <conditionalFormatting sqref="F11:G11">
    <cfRule type="expression" dxfId="190" priority="23">
      <formula>$F$11&gt;0</formula>
    </cfRule>
  </conditionalFormatting>
  <conditionalFormatting sqref="F12:G12">
    <cfRule type="expression" dxfId="189" priority="22">
      <formula>$F$12&gt;0</formula>
    </cfRule>
  </conditionalFormatting>
  <conditionalFormatting sqref="F13:G13">
    <cfRule type="expression" dxfId="188" priority="21">
      <formula>$F$13&gt;0</formula>
    </cfRule>
  </conditionalFormatting>
  <conditionalFormatting sqref="J3">
    <cfRule type="expression" dxfId="187" priority="20">
      <formula>$J$3&gt;0</formula>
    </cfRule>
  </conditionalFormatting>
  <conditionalFormatting sqref="J4">
    <cfRule type="expression" dxfId="186" priority="19">
      <formula>$J$4&gt;0</formula>
    </cfRule>
  </conditionalFormatting>
  <conditionalFormatting sqref="J5">
    <cfRule type="expression" dxfId="185" priority="18">
      <formula>$J$5&gt;0</formula>
    </cfRule>
  </conditionalFormatting>
  <conditionalFormatting sqref="J6">
    <cfRule type="expression" dxfId="184" priority="17">
      <formula>$J$6&gt;0</formula>
    </cfRule>
  </conditionalFormatting>
  <conditionalFormatting sqref="J7">
    <cfRule type="expression" dxfId="183" priority="16">
      <formula>$J$7&gt;0</formula>
    </cfRule>
  </conditionalFormatting>
  <conditionalFormatting sqref="J8">
    <cfRule type="expression" dxfId="182" priority="15">
      <formula>$J$8&gt;0</formula>
    </cfRule>
  </conditionalFormatting>
  <conditionalFormatting sqref="J9">
    <cfRule type="expression" dxfId="181" priority="14">
      <formula>$J$9&gt;0</formula>
    </cfRule>
  </conditionalFormatting>
  <conditionalFormatting sqref="J10">
    <cfRule type="expression" dxfId="180" priority="12">
      <formula>$J$10&gt;0</formula>
    </cfRule>
    <cfRule type="expression" dxfId="179" priority="13">
      <formula>$J$10&gt;0</formula>
    </cfRule>
  </conditionalFormatting>
  <conditionalFormatting sqref="J11">
    <cfRule type="expression" dxfId="178" priority="11">
      <formula>$J$11&gt;0</formula>
    </cfRule>
  </conditionalFormatting>
  <conditionalFormatting sqref="J12">
    <cfRule type="expression" dxfId="177" priority="10">
      <formula>$J$12&gt;0</formula>
    </cfRule>
  </conditionalFormatting>
  <conditionalFormatting sqref="F4:G4">
    <cfRule type="expression" dxfId="176" priority="9">
      <formula>$F$4=" "</formula>
    </cfRule>
  </conditionalFormatting>
  <conditionalFormatting sqref="F6:G6">
    <cfRule type="expression" dxfId="175" priority="8">
      <formula>$F$6=" "</formula>
    </cfRule>
  </conditionalFormatting>
  <conditionalFormatting sqref="I17:I19">
    <cfRule type="expression" dxfId="174" priority="7">
      <formula>I17&gt;G17</formula>
    </cfRule>
  </conditionalFormatting>
  <conditionalFormatting sqref="I61 I63">
    <cfRule type="expression" dxfId="173" priority="6">
      <formula>I61&gt;G61</formula>
    </cfRule>
  </conditionalFormatting>
  <conditionalFormatting sqref="I71 I80">
    <cfRule type="expression" dxfId="172" priority="5">
      <formula>I71&gt;G71</formula>
    </cfRule>
  </conditionalFormatting>
  <conditionalFormatting sqref="I20:I60 I72:I78">
    <cfRule type="expression" dxfId="171" priority="4">
      <formula>$K20&gt;$G20</formula>
    </cfRule>
  </conditionalFormatting>
  <conditionalFormatting sqref="I62">
    <cfRule type="expression" dxfId="170" priority="3">
      <formula>I62&gt;G62</formula>
    </cfRule>
  </conditionalFormatting>
  <conditionalFormatting sqref="I79">
    <cfRule type="expression" dxfId="169" priority="2">
      <formula>I79&gt;G79</formula>
    </cfRule>
  </conditionalFormatting>
  <conditionalFormatting sqref="F112">
    <cfRule type="expression" dxfId="168" priority="1">
      <formula>$F$112&lt;&gt;$L$91</formula>
    </cfRule>
  </conditionalFormatting>
  <printOptions horizontalCentered="1"/>
  <pageMargins left="0.43307086614173229" right="0.43307086614173229" top="0.59055118110236227" bottom="0.59055118110236227" header="0.31496062992125984" footer="0.31496062992125984"/>
  <pageSetup scale="64" orientation="landscape" r:id="rId1"/>
  <headerFooter>
    <oddFooter>&amp;C&amp;"-,Cursiva"&amp;10&amp;A&amp;R&amp;"-,Cursiva"&amp;10Página &amp;P de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dimension ref="A1:M166"/>
  <sheetViews>
    <sheetView topLeftCell="B89" zoomScaleNormal="100" workbookViewId="0">
      <selection activeCell="F64" sqref="F64:F70"/>
    </sheetView>
  </sheetViews>
  <sheetFormatPr baseColWidth="10" defaultColWidth="13.7109375" defaultRowHeight="12"/>
  <cols>
    <col min="1" max="1" width="7.7109375" style="81" customWidth="1"/>
    <col min="2" max="2" width="54.5703125" style="82" customWidth="1"/>
    <col min="3" max="3" width="5.7109375" style="81" customWidth="1"/>
    <col min="4" max="4" width="9.140625" style="83" customWidth="1"/>
    <col min="5" max="5" width="14.7109375" style="83" customWidth="1"/>
    <col min="6" max="6" width="15.85546875" style="83" customWidth="1"/>
    <col min="7" max="7" width="13.42578125" style="82" customWidth="1"/>
    <col min="8" max="8" width="14.7109375" style="82" customWidth="1"/>
    <col min="9" max="9" width="13.28515625" style="82" customWidth="1"/>
    <col min="10" max="10" width="21.28515625" style="82" customWidth="1"/>
    <col min="11" max="12" width="15.28515625" style="82" customWidth="1"/>
    <col min="13" max="13" width="4.7109375" style="82" customWidth="1"/>
    <col min="14" max="16384" width="13.7109375" style="82"/>
  </cols>
  <sheetData>
    <row r="1" spans="1:12" ht="14.45" customHeight="1">
      <c r="A1" s="1049" t="s">
        <v>246</v>
      </c>
      <c r="B1" s="1050"/>
      <c r="C1" s="1051" t="str">
        <f>"MUNICIPIO DE "&amp;DATOS!E8</f>
        <v xml:space="preserve">MUNICIPIO DE </v>
      </c>
      <c r="D1" s="1052"/>
      <c r="E1" s="1052"/>
      <c r="F1" s="1052"/>
      <c r="G1" s="1052"/>
      <c r="H1" s="1052"/>
      <c r="I1" s="1052"/>
      <c r="J1" s="1052"/>
      <c r="K1" s="129" t="s">
        <v>90</v>
      </c>
      <c r="L1" s="130" t="s">
        <v>84</v>
      </c>
    </row>
    <row r="2" spans="1:12" ht="12" customHeight="1">
      <c r="A2" s="1050"/>
      <c r="B2" s="1050"/>
      <c r="C2" s="103" t="str">
        <f>DATOS!E10&amp;" No.:"</f>
        <v xml:space="preserve"> No.:</v>
      </c>
      <c r="D2" s="104"/>
      <c r="E2" s="105"/>
      <c r="F2" s="1053" t="str">
        <f>DATOS!E12&amp;" "&amp;DATOS!G12&amp;" "&amp;DATOS!I12</f>
        <v xml:space="preserve">  </v>
      </c>
      <c r="G2" s="1055"/>
      <c r="H2" s="103" t="s">
        <v>184</v>
      </c>
      <c r="I2" s="105"/>
      <c r="J2" s="109">
        <f>DATOS!E52</f>
        <v>0</v>
      </c>
      <c r="K2" s="129" t="s">
        <v>89</v>
      </c>
      <c r="L2" s="130" t="s">
        <v>248</v>
      </c>
    </row>
    <row r="3" spans="1:12" ht="12" customHeight="1">
      <c r="A3" s="1050"/>
      <c r="B3" s="1050"/>
      <c r="C3" s="98" t="s">
        <v>4</v>
      </c>
      <c r="D3" s="99"/>
      <c r="E3" s="100"/>
      <c r="F3" s="1053">
        <f>DATOS!G16</f>
        <v>0</v>
      </c>
      <c r="G3" s="1055"/>
      <c r="H3" s="103" t="s">
        <v>236</v>
      </c>
      <c r="I3" s="105"/>
      <c r="J3" s="110">
        <f>DATOS!E72</f>
        <v>42428</v>
      </c>
      <c r="K3" s="129" t="s">
        <v>247</v>
      </c>
      <c r="L3" s="130" t="s">
        <v>249</v>
      </c>
    </row>
    <row r="4" spans="1:12" ht="12" customHeight="1">
      <c r="A4" s="1050"/>
      <c r="B4" s="1050"/>
      <c r="C4" s="98" t="s">
        <v>5</v>
      </c>
      <c r="D4" s="99"/>
      <c r="E4" s="100"/>
      <c r="F4" s="1053" t="str">
        <f>IF(DATOS!E16="Persona Jurídica",DATOS!G20," ")</f>
        <v xml:space="preserve"> </v>
      </c>
      <c r="G4" s="1055"/>
      <c r="H4" s="103" t="s">
        <v>241</v>
      </c>
      <c r="I4" s="105"/>
      <c r="J4" s="106">
        <f>DATOS!E74</f>
        <v>42459</v>
      </c>
      <c r="K4" s="1062" t="s">
        <v>379</v>
      </c>
      <c r="L4" s="1063"/>
    </row>
    <row r="5" spans="1:12" ht="12" customHeight="1">
      <c r="A5" s="1050"/>
      <c r="B5" s="1050"/>
      <c r="C5" s="98" t="s">
        <v>105</v>
      </c>
      <c r="D5" s="99"/>
      <c r="E5" s="100"/>
      <c r="F5" s="1053">
        <f>LOOKUP(C5,DATOS!C24:C30,DATOS!G24:G30)</f>
        <v>0</v>
      </c>
      <c r="G5" s="1055"/>
      <c r="H5" s="103" t="s">
        <v>237</v>
      </c>
      <c r="I5" s="105"/>
      <c r="J5" s="106">
        <f>DATOS!E78</f>
        <v>42491</v>
      </c>
      <c r="K5" s="1062"/>
      <c r="L5" s="1063"/>
    </row>
    <row r="6" spans="1:12" ht="12" customHeight="1">
      <c r="A6" s="1050"/>
      <c r="B6" s="1050"/>
      <c r="C6" s="98" t="s">
        <v>5</v>
      </c>
      <c r="D6" s="99"/>
      <c r="E6" s="100"/>
      <c r="F6" s="1053" t="str">
        <f>IF(DATOS!E24="Persona Jurídica",DATOS!G28," ")</f>
        <v xml:space="preserve"> </v>
      </c>
      <c r="G6" s="1055"/>
      <c r="H6" s="103" t="s">
        <v>242</v>
      </c>
      <c r="I6" s="105"/>
      <c r="J6" s="106">
        <f>DATOS!E80</f>
        <v>42916</v>
      </c>
      <c r="K6" s="1062"/>
      <c r="L6" s="1063"/>
    </row>
    <row r="7" spans="1:12" ht="12" customHeight="1">
      <c r="A7" s="1050"/>
      <c r="B7" s="1050"/>
      <c r="C7" s="98" t="s">
        <v>185</v>
      </c>
      <c r="D7" s="99"/>
      <c r="E7" s="100"/>
      <c r="F7" s="1041">
        <f>DATOS!E46</f>
        <v>0</v>
      </c>
      <c r="G7" s="1043"/>
      <c r="H7" s="103" t="s">
        <v>238</v>
      </c>
      <c r="I7" s="105"/>
      <c r="J7" s="106">
        <f>DATOS!E84</f>
        <v>42541</v>
      </c>
      <c r="K7" s="1062"/>
      <c r="L7" s="1063"/>
    </row>
    <row r="8" spans="1:12" ht="12" customHeight="1">
      <c r="A8" s="1050"/>
      <c r="B8" s="1050"/>
      <c r="C8" s="98" t="s">
        <v>77</v>
      </c>
      <c r="D8" s="99"/>
      <c r="E8" s="100"/>
      <c r="F8" s="1041">
        <f>DATOS!E60</f>
        <v>30000000</v>
      </c>
      <c r="G8" s="1043"/>
      <c r="H8" s="103" t="s">
        <v>243</v>
      </c>
      <c r="I8" s="105"/>
      <c r="J8" s="106">
        <f>DATOS!E86</f>
        <v>42546</v>
      </c>
      <c r="K8" s="1062"/>
      <c r="L8" s="1063"/>
    </row>
    <row r="9" spans="1:12" ht="12" customHeight="1">
      <c r="A9" s="1050"/>
      <c r="B9" s="1050"/>
      <c r="C9" s="98" t="s">
        <v>78</v>
      </c>
      <c r="D9" s="99"/>
      <c r="E9" s="100"/>
      <c r="F9" s="1041">
        <f>DATOS!E62</f>
        <v>0</v>
      </c>
      <c r="G9" s="1043"/>
      <c r="H9" s="103" t="s">
        <v>239</v>
      </c>
      <c r="I9" s="105"/>
      <c r="J9" s="106">
        <f>DATOS!E90</f>
        <v>0</v>
      </c>
      <c r="K9" s="1062"/>
      <c r="L9" s="1063"/>
    </row>
    <row r="10" spans="1:12" ht="12" customHeight="1">
      <c r="A10" s="1044" t="s">
        <v>8</v>
      </c>
      <c r="B10" s="1045">
        <f>DATOS!E38</f>
        <v>0</v>
      </c>
      <c r="C10" s="98" t="s">
        <v>186</v>
      </c>
      <c r="D10" s="99"/>
      <c r="E10" s="100"/>
      <c r="F10" s="1041">
        <f>F7+F8+F9</f>
        <v>30000000</v>
      </c>
      <c r="G10" s="1043"/>
      <c r="H10" s="103" t="s">
        <v>244</v>
      </c>
      <c r="I10" s="105"/>
      <c r="J10" s="106">
        <f>DATOS!E92</f>
        <v>0</v>
      </c>
      <c r="K10" s="1062"/>
      <c r="L10" s="1063"/>
    </row>
    <row r="11" spans="1:12" ht="12" customHeight="1">
      <c r="A11" s="1044"/>
      <c r="B11" s="1045"/>
      <c r="C11" s="98" t="s">
        <v>233</v>
      </c>
      <c r="D11" s="99"/>
      <c r="E11" s="100"/>
      <c r="F11" s="1046">
        <f>DATOS!E174</f>
        <v>42602</v>
      </c>
      <c r="G11" s="1048"/>
      <c r="H11" s="103" t="s">
        <v>240</v>
      </c>
      <c r="I11" s="105"/>
      <c r="J11" s="106"/>
      <c r="K11" s="1064"/>
      <c r="L11" s="1065"/>
    </row>
    <row r="12" spans="1:12" ht="12" customHeight="1">
      <c r="A12" s="1044"/>
      <c r="B12" s="1045"/>
      <c r="C12" s="98" t="s">
        <v>234</v>
      </c>
      <c r="D12" s="99"/>
      <c r="E12" s="100"/>
      <c r="F12" s="1046">
        <f>DATOS!E176</f>
        <v>0</v>
      </c>
      <c r="G12" s="1048"/>
      <c r="H12" s="103" t="s">
        <v>245</v>
      </c>
      <c r="I12" s="105"/>
      <c r="J12" s="106"/>
      <c r="K12" s="1073">
        <f>DATOS!E160</f>
        <v>0</v>
      </c>
      <c r="L12" s="1074"/>
    </row>
    <row r="13" spans="1:12" ht="12" customHeight="1">
      <c r="A13" s="1044"/>
      <c r="B13" s="1045"/>
      <c r="C13" s="98" t="s">
        <v>235</v>
      </c>
      <c r="D13" s="99"/>
      <c r="E13" s="100"/>
      <c r="F13" s="1046">
        <f>DATOS!E178</f>
        <v>0</v>
      </c>
      <c r="G13" s="1048"/>
      <c r="H13" s="103" t="s">
        <v>72</v>
      </c>
      <c r="I13" s="105"/>
      <c r="J13" s="107">
        <f>DATOS!E132</f>
        <v>614</v>
      </c>
      <c r="K13" s="1075"/>
      <c r="L13" s="1076"/>
    </row>
    <row r="14" spans="1:12">
      <c r="A14" s="84"/>
      <c r="B14" s="85"/>
      <c r="C14" s="84"/>
      <c r="D14" s="86"/>
      <c r="E14" s="86"/>
      <c r="F14" s="86"/>
      <c r="G14" s="85"/>
      <c r="H14" s="85"/>
      <c r="I14" s="85"/>
      <c r="J14" s="85"/>
      <c r="K14" s="85"/>
      <c r="L14" s="85"/>
    </row>
    <row r="15" spans="1:12">
      <c r="A15" s="1040" t="s">
        <v>181</v>
      </c>
      <c r="B15" s="1040" t="s">
        <v>115</v>
      </c>
      <c r="C15" s="1147" t="s">
        <v>182</v>
      </c>
      <c r="D15" s="1148"/>
      <c r="E15" s="1148"/>
      <c r="F15" s="1149"/>
      <c r="G15" s="1139" t="s">
        <v>187</v>
      </c>
      <c r="H15" s="1140"/>
      <c r="I15" s="1141" t="s">
        <v>188</v>
      </c>
      <c r="J15" s="1142"/>
      <c r="K15" s="1143" t="s">
        <v>189</v>
      </c>
      <c r="L15" s="1143"/>
    </row>
    <row r="16" spans="1:12">
      <c r="A16" s="1040"/>
      <c r="B16" s="1040"/>
      <c r="C16" s="321" t="s">
        <v>164</v>
      </c>
      <c r="D16" s="96" t="s">
        <v>118</v>
      </c>
      <c r="E16" s="96" t="s">
        <v>180</v>
      </c>
      <c r="F16" s="96" t="s">
        <v>117</v>
      </c>
      <c r="G16" s="101" t="s">
        <v>317</v>
      </c>
      <c r="H16" s="101" t="s">
        <v>117</v>
      </c>
      <c r="I16" s="131" t="s">
        <v>317</v>
      </c>
      <c r="J16" s="131" t="s">
        <v>117</v>
      </c>
      <c r="K16" s="322" t="s">
        <v>317</v>
      </c>
      <c r="L16" s="322" t="s">
        <v>117</v>
      </c>
    </row>
    <row r="17" spans="1:13">
      <c r="A17" s="87" t="str">
        <f>IF(LOOKUP(M17,PPTO!$J$8:$J$269,PPTO!A$8:A$269)=0," ",LOOKUP(M17,PPTO!$J$8:$J$269,PPTO!A$8:A$269))</f>
        <v xml:space="preserve"> </v>
      </c>
      <c r="B17" s="88" t="str">
        <f>IF(LOOKUP(M17,PPTO!$J$8:J$269,PPTO!B$8:B$269)=0," ",LOOKUP(M17,PPTO!$J$8:J$269,PPTO!B$8:B$269))</f>
        <v xml:space="preserve"> </v>
      </c>
      <c r="C17" s="89" t="str">
        <f>IF(LOOKUP(M17,PPTO!$J$8:$J$269,PPTO!D$8:D$269)=0," ",LOOKUP(M17,PPTO!$J$8:$J$269,PPTO!D$8:D$269))</f>
        <v xml:space="preserve"> </v>
      </c>
      <c r="D17" s="90" t="str">
        <f>IF(LOOKUP(M17,PPTO!$J$8:$J$269,PPTO!D$8:D$269)=0," ",LOOKUP(M17,PPTO!$J$8:$J$269,PPTO!D$8:D$269))</f>
        <v xml:space="preserve"> </v>
      </c>
      <c r="E17" s="90" t="str">
        <f>IF(LOOKUP(M17,PPTO!$J$8:$J$269,PPTO!E$8:E$269)=0," ",LOOKUP(M17,PPTO!$J$8:$J$269,PPTO!E$8:E$269))</f>
        <v xml:space="preserve"> </v>
      </c>
      <c r="F17" s="90" t="str">
        <f>IF(LOOKUP(M17,PPTO!$J$8:$J$269,PPTO!F$8:F$269)=0," ",LOOKUP(M17,PPTO!$J$8:$J$269,PPTO!F$8:F$269))</f>
        <v xml:space="preserve"> </v>
      </c>
      <c r="G17" s="178"/>
      <c r="H17" s="102"/>
      <c r="I17" s="174"/>
      <c r="J17" s="102"/>
      <c r="K17" s="102"/>
      <c r="L17" s="102"/>
      <c r="M17" s="108">
        <v>1</v>
      </c>
    </row>
    <row r="18" spans="1:13">
      <c r="A18" s="87" t="str">
        <f>IF(LOOKUP(M18,PPTO!$J$8:$J$269,PPTO!A$8:A$269)=0," ",LOOKUP(M18,PPTO!$J$8:$J$269,PPTO!A$8:A$269))</f>
        <v xml:space="preserve"> </v>
      </c>
      <c r="B18" s="88" t="str">
        <f>IF(LOOKUP(M18,PPTO!$J$8:J$269,PPTO!B$8:B$269)=0," ",LOOKUP(M18,PPTO!$J$8:J$269,PPTO!B$8:B$269))</f>
        <v>PRESUPUESTO OBRA CIVIL</v>
      </c>
      <c r="C18" s="89" t="str">
        <f>IF(LOOKUP(M18,PPTO!$J$8:$J$269,PPTO!D$8:D$269)=0," ",LOOKUP(M18,PPTO!$J$8:$J$269,PPTO!D$8:D$269))</f>
        <v xml:space="preserve"> </v>
      </c>
      <c r="D18" s="90" t="str">
        <f>IF(LOOKUP(M18,PPTO!$J$8:$J$269,PPTO!D$8:D$269)=0," ",LOOKUP(M18,PPTO!$J$8:$J$269,PPTO!D$8:D$269))</f>
        <v xml:space="preserve"> </v>
      </c>
      <c r="E18" s="90" t="str">
        <f>IF(LOOKUP(M18,PPTO!$J$8:$J$269,PPTO!E$8:E$269)=0," ",LOOKUP(M18,PPTO!$J$8:$J$269,PPTO!E$8:E$269))</f>
        <v xml:space="preserve"> </v>
      </c>
      <c r="F18" s="90" t="str">
        <f>IF(LOOKUP(M18,PPTO!$J$8:$J$269,PPTO!H$8:H$269)=0," ",LOOKUP(M18,PPTO!$J$8:$J$269,PPTO!H$8:H$269))</f>
        <v xml:space="preserve"> </v>
      </c>
      <c r="G18" s="178"/>
      <c r="H18" s="102"/>
      <c r="I18" s="174"/>
      <c r="J18" s="102"/>
      <c r="K18" s="102"/>
      <c r="L18" s="102"/>
      <c r="M18" s="108">
        <f>M17+1</f>
        <v>2</v>
      </c>
    </row>
    <row r="19" spans="1:13">
      <c r="A19" s="92">
        <f>IF(LOOKUP(M19,PPTO!$J$8:$J$269,PPTO!A$8:A$269)=0," ",LOOKUP(M19,PPTO!$J$8:$J$269,PPTO!A$8:A$269))</f>
        <v>1</v>
      </c>
      <c r="B19" s="88" t="str">
        <f>IF(LOOKUP(M19,PPTO!$J$8:J$269,PPTO!B$8:B$269)=0," ",LOOKUP(M19,PPTO!$J$8:J$269,PPTO!B$8:B$269))</f>
        <v>PRELIMINARES</v>
      </c>
      <c r="C19" s="89" t="str">
        <f>IF(LOOKUP(M19,PPTO!$J$8:$J$269,PPTO!D$8:D$269)=0," ",LOOKUP(M19,PPTO!$J$8:$J$269,PPTO!D$8:D$269))</f>
        <v xml:space="preserve"> </v>
      </c>
      <c r="D19" s="90" t="str">
        <f>IF(LOOKUP(M19,PPTO!$J$8:$J$269,PPTO!E$8:E$269)=0," ",LOOKUP(M19,PPTO!$J$8:$J$269,PPTO!E$8:E$269))</f>
        <v xml:space="preserve"> </v>
      </c>
      <c r="E19" s="90" t="str">
        <f>IF(LOOKUP(M19,PPTO!$J$8:$J$269,PPTO!F$8:F$269)=0," ",LOOKUP(M19,PPTO!$J$8:$J$269,PPTO!F$8:F$269))</f>
        <v xml:space="preserve"> </v>
      </c>
      <c r="F19" s="90" t="str">
        <f>IF(LOOKUP(M19,PPTO!$J$8:$J$269,PPTO!H$8:H$269)=0," ",LOOKUP(M19,PPTO!$J$8:$J$269,PPTO!H$8:H$269))</f>
        <v xml:space="preserve"> </v>
      </c>
      <c r="G19" s="178"/>
      <c r="H19" s="102"/>
      <c r="I19" s="174"/>
      <c r="J19" s="102"/>
      <c r="K19" s="102"/>
      <c r="L19" s="102"/>
      <c r="M19" s="108">
        <f t="shared" ref="M19:M60" si="0">M18+1</f>
        <v>3</v>
      </c>
    </row>
    <row r="20" spans="1:13">
      <c r="A20" s="87" t="str">
        <f>IF(LOOKUP(M20,PPTO!$J$8:$J$269,PPTO!A$8:A$269)=0," ",LOOKUP(M20,PPTO!$J$8:$J$269,PPTO!A$8:A$269))</f>
        <v>1.02</v>
      </c>
      <c r="B20" s="91" t="str">
        <f>IF(LOOKUP(M20,PPTO!$J$8:J$269,PPTO!B$8:B$269)=0," ",LOOKUP(M20,PPTO!$J$8:J$269,PPTO!B$8:B$269))</f>
        <v xml:space="preserve"> </v>
      </c>
      <c r="C20" s="89" t="str">
        <f>IF(LOOKUP(M20,PPTO!$J$8:$J$269,PPTO!D$8:D$269)=0," ",LOOKUP(M20,PPTO!$J$8:$J$269,PPTO!D$8:D$269))</f>
        <v>ML</v>
      </c>
      <c r="D20" s="90" t="str">
        <f>IF(LOOKUP(M20,PPTO!$J$8:$J$269,PPTO!E$8:E$269)=0," ",LOOKUP(M20,PPTO!$J$8:$J$269,PPTO!E$8:E$269))</f>
        <v xml:space="preserve"> </v>
      </c>
      <c r="E20" s="90" t="str">
        <f>IF(LOOKUP(M20,PPTO!$J$8:$J$269,PPTO!F$8:F$269)=0," ",LOOKUP(M20,PPTO!$J$8:$J$269,PPTO!F$8:F$269))</f>
        <v xml:space="preserve"> </v>
      </c>
      <c r="F20" s="90" t="str">
        <f>IF(LOOKUP(M20,PPTO!$J$8:$J$269,PPTO!H$8:H$269)=0," ",LOOKUP(M20,PPTO!$J$8:$J$269,PPTO!H$8:H$269))</f>
        <v xml:space="preserve"> </v>
      </c>
      <c r="G20" s="178">
        <v>15000</v>
      </c>
      <c r="H20" s="102" t="e">
        <f>ROUND(G20*E20,0)</f>
        <v>#VALUE!</v>
      </c>
      <c r="I20" s="174">
        <v>0</v>
      </c>
      <c r="J20" s="102" t="e">
        <f>ROUND(I20*E20,0)</f>
        <v>#VALUE!</v>
      </c>
      <c r="K20" s="102" t="e">
        <f>I20+'ACTA PARCIAL No.9'!K20</f>
        <v>#REF!</v>
      </c>
      <c r="L20" s="102" t="e">
        <f>ROUND(K20*E20,0)</f>
        <v>#REF!</v>
      </c>
      <c r="M20" s="108">
        <f t="shared" si="0"/>
        <v>4</v>
      </c>
    </row>
    <row r="21" spans="1:13">
      <c r="A21" s="87">
        <f>IF(LOOKUP(M21,PPTO!$J$8:$J$269,PPTO!A$8:A$269)=0," ",LOOKUP(M21,PPTO!$J$8:$J$269,PPTO!A$8:A$269))</f>
        <v>2</v>
      </c>
      <c r="B21" s="91" t="str">
        <f>IF(LOOKUP(M21,PPTO!$J$8:J$269,PPTO!B$8:B$269)=0," ",LOOKUP(M21,PPTO!$J$8:J$269,PPTO!B$8:B$269))</f>
        <v>DEMOLICION Y ROTURAS</v>
      </c>
      <c r="C21" s="89" t="str">
        <f>IF(LOOKUP(M21,PPTO!$J$8:$J$269,PPTO!D$8:D$269)=0," ",LOOKUP(M21,PPTO!$J$8:$J$269,PPTO!D$8:D$269))</f>
        <v xml:space="preserve"> </v>
      </c>
      <c r="D21" s="90" t="str">
        <f>IF(LOOKUP(M21,PPTO!$J$8:$J$269,PPTO!E$8:E$269)=0," ",LOOKUP(M21,PPTO!$J$8:$J$269,PPTO!E$8:E$269))</f>
        <v xml:space="preserve"> </v>
      </c>
      <c r="E21" s="90" t="str">
        <f>IF(LOOKUP(M21,PPTO!$J$8:$J$269,PPTO!F$8:F$269)=0," ",LOOKUP(M21,PPTO!$J$8:$J$269,PPTO!F$8:F$269))</f>
        <v xml:space="preserve"> </v>
      </c>
      <c r="F21" s="90" t="str">
        <f>IF(LOOKUP(M21,PPTO!$J$8:$J$269,PPTO!H$8:H$269)=0," ",LOOKUP(M21,PPTO!$J$8:$J$269,PPTO!H$8:H$269))</f>
        <v xml:space="preserve"> </v>
      </c>
      <c r="G21" s="178"/>
      <c r="H21" s="102"/>
      <c r="I21" s="174"/>
      <c r="J21" s="102"/>
      <c r="K21" s="102"/>
      <c r="L21" s="102"/>
      <c r="M21" s="108">
        <f t="shared" si="0"/>
        <v>5</v>
      </c>
    </row>
    <row r="22" spans="1:13">
      <c r="A22" s="87" t="str">
        <f>IF(LOOKUP(M22,PPTO!$J$8:$J$269,PPTO!A$8:A$269)=0," ",LOOKUP(M22,PPTO!$J$8:$J$269,PPTO!A$8:A$269))</f>
        <v>2.01</v>
      </c>
      <c r="B22" s="91" t="str">
        <f>IF(LOOKUP(M22,PPTO!$J$8:J$269,PPTO!B$8:B$269)=0," ",LOOKUP(M22,PPTO!$J$8:J$269,PPTO!B$8:B$269))</f>
        <v xml:space="preserve"> </v>
      </c>
      <c r="C22" s="89" t="str">
        <f>IF(LOOKUP(M22,PPTO!$J$8:$J$269,PPTO!D$8:D$269)=0," ",LOOKUP(M22,PPTO!$J$8:$J$269,PPTO!D$8:D$269))</f>
        <v>ML</v>
      </c>
      <c r="D22" s="90" t="str">
        <f>IF(LOOKUP(M22,PPTO!$J$8:$J$269,PPTO!E$8:E$269)=0," ",LOOKUP(M22,PPTO!$J$8:$J$269,PPTO!E$8:E$269))</f>
        <v xml:space="preserve"> </v>
      </c>
      <c r="E22" s="90" t="str">
        <f>IF(LOOKUP(M22,PPTO!$J$8:$J$269,PPTO!F$8:F$269)=0," ",LOOKUP(M22,PPTO!$J$8:$J$269,PPTO!F$8:F$269))</f>
        <v xml:space="preserve"> </v>
      </c>
      <c r="F22" s="90" t="str">
        <f>IF(LOOKUP(M22,PPTO!$J$8:$J$269,PPTO!H$8:H$269)=0," ",LOOKUP(M22,PPTO!$J$8:$J$269,PPTO!H$8:H$269))</f>
        <v xml:space="preserve"> </v>
      </c>
      <c r="G22" s="178">
        <v>14696</v>
      </c>
      <c r="H22" s="102" t="e">
        <f t="shared" ref="H22:H60" si="1">ROUND(G22*E22,0)</f>
        <v>#VALUE!</v>
      </c>
      <c r="I22" s="174">
        <v>0</v>
      </c>
      <c r="J22" s="102" t="e">
        <f t="shared" ref="J22:J60" si="2">ROUND(I22*E22,0)</f>
        <v>#VALUE!</v>
      </c>
      <c r="K22" s="102" t="e">
        <f>I22+'ACTA PARCIAL No.9'!K22</f>
        <v>#REF!</v>
      </c>
      <c r="L22" s="102" t="e">
        <f t="shared" ref="L22:L60" si="3">ROUND(K22*E22,0)</f>
        <v>#REF!</v>
      </c>
      <c r="M22" s="108">
        <f t="shared" si="0"/>
        <v>6</v>
      </c>
    </row>
    <row r="23" spans="1:13">
      <c r="A23" s="87" t="str">
        <f>IF(LOOKUP(M23,PPTO!$J$8:$J$269,PPTO!A$8:A$269)=0," ",LOOKUP(M23,PPTO!$J$8:$J$269,PPTO!A$8:A$269))</f>
        <v>2.02</v>
      </c>
      <c r="B23" s="91" t="str">
        <f>IF(LOOKUP(M23,PPTO!$J$8:J$269,PPTO!B$8:B$269)=0," ",LOOKUP(M23,PPTO!$J$8:J$269,PPTO!B$8:B$269))</f>
        <v xml:space="preserve"> </v>
      </c>
      <c r="C23" s="89" t="str">
        <f>IF(LOOKUP(M23,PPTO!$J$8:$J$269,PPTO!D$8:D$269)=0," ",LOOKUP(M23,PPTO!$J$8:$J$269,PPTO!D$8:D$269))</f>
        <v>M2</v>
      </c>
      <c r="D23" s="90" t="str">
        <f>IF(LOOKUP(M23,PPTO!$J$8:$J$269,PPTO!E$8:E$269)=0," ",LOOKUP(M23,PPTO!$J$8:$J$269,PPTO!E$8:E$269))</f>
        <v xml:space="preserve"> </v>
      </c>
      <c r="E23" s="90" t="str">
        <f>IF(LOOKUP(M23,PPTO!$J$8:$J$269,PPTO!F$8:F$269)=0," ",LOOKUP(M23,PPTO!$J$8:$J$269,PPTO!F$8:F$269))</f>
        <v xml:space="preserve"> </v>
      </c>
      <c r="F23" s="90" t="str">
        <f>IF(LOOKUP(M23,PPTO!$J$8:$J$269,PPTO!H$8:H$269)=0," ",LOOKUP(M23,PPTO!$J$8:$J$269,PPTO!H$8:H$269))</f>
        <v xml:space="preserve"> </v>
      </c>
      <c r="G23" s="178">
        <v>4134</v>
      </c>
      <c r="H23" s="102" t="e">
        <f t="shared" si="1"/>
        <v>#VALUE!</v>
      </c>
      <c r="I23" s="174">
        <v>0</v>
      </c>
      <c r="J23" s="102" t="e">
        <f t="shared" si="2"/>
        <v>#VALUE!</v>
      </c>
      <c r="K23" s="102" t="e">
        <f>I23+'ACTA PARCIAL No.9'!K23</f>
        <v>#REF!</v>
      </c>
      <c r="L23" s="102" t="e">
        <f t="shared" si="3"/>
        <v>#REF!</v>
      </c>
      <c r="M23" s="108">
        <f t="shared" si="0"/>
        <v>7</v>
      </c>
    </row>
    <row r="24" spans="1:13">
      <c r="A24" s="87" t="str">
        <f>IF(LOOKUP(M24,PPTO!$J$8:$J$269,PPTO!A$8:A$269)=0," ",LOOKUP(M24,PPTO!$J$8:$J$269,PPTO!A$8:A$269))</f>
        <v>2.03</v>
      </c>
      <c r="B24" s="91" t="str">
        <f>IF(LOOKUP(M24,PPTO!$J$8:J$269,PPTO!B$8:B$269)=0," ",LOOKUP(M24,PPTO!$J$8:J$269,PPTO!B$8:B$269))</f>
        <v xml:space="preserve"> </v>
      </c>
      <c r="C24" s="89" t="str">
        <f>IF(LOOKUP(M24,PPTO!$J$8:$J$269,PPTO!D$8:D$269)=0," ",LOOKUP(M24,PPTO!$J$8:$J$269,PPTO!D$8:D$269))</f>
        <v>M2</v>
      </c>
      <c r="D24" s="90" t="str">
        <f>IF(LOOKUP(M24,PPTO!$J$8:$J$269,PPTO!E$8:E$269)=0," ",LOOKUP(M24,PPTO!$J$8:$J$269,PPTO!E$8:E$269))</f>
        <v xml:space="preserve"> </v>
      </c>
      <c r="E24" s="90" t="str">
        <f>IF(LOOKUP(M24,PPTO!$J$8:$J$269,PPTO!F$8:F$269)=0," ",LOOKUP(M24,PPTO!$J$8:$J$269,PPTO!F$8:F$269))</f>
        <v xml:space="preserve"> </v>
      </c>
      <c r="F24" s="90" t="str">
        <f>IF(LOOKUP(M24,PPTO!$J$8:$J$269,PPTO!H$8:H$269)=0," ",LOOKUP(M24,PPTO!$J$8:$J$269,PPTO!H$8:H$269))</f>
        <v xml:space="preserve"> </v>
      </c>
      <c r="G24" s="178">
        <v>14696</v>
      </c>
      <c r="H24" s="102" t="e">
        <f t="shared" si="1"/>
        <v>#VALUE!</v>
      </c>
      <c r="I24" s="174">
        <v>451</v>
      </c>
      <c r="J24" s="102" t="e">
        <f t="shared" si="2"/>
        <v>#VALUE!</v>
      </c>
      <c r="K24" s="102" t="e">
        <f>I24+'ACTA PARCIAL No.9'!K24</f>
        <v>#REF!</v>
      </c>
      <c r="L24" s="102" t="e">
        <f t="shared" si="3"/>
        <v>#REF!</v>
      </c>
      <c r="M24" s="108">
        <f t="shared" si="0"/>
        <v>8</v>
      </c>
    </row>
    <row r="25" spans="1:13">
      <c r="A25" s="87" t="str">
        <f>IF(LOOKUP(M25,PPTO!$J$8:$J$269,PPTO!A$8:A$269)=0," ",LOOKUP(M25,PPTO!$J$8:$J$269,PPTO!A$8:A$269))</f>
        <v>2.04</v>
      </c>
      <c r="B25" s="91" t="str">
        <f>IF(LOOKUP(M25,PPTO!$J$8:J$269,PPTO!B$8:B$269)=0," ",LOOKUP(M25,PPTO!$J$8:J$269,PPTO!B$8:B$269))</f>
        <v xml:space="preserve"> </v>
      </c>
      <c r="C25" s="89" t="str">
        <f>IF(LOOKUP(M25,PPTO!$J$8:$J$269,PPTO!D$8:D$269)=0," ",LOOKUP(M25,PPTO!$J$8:$J$269,PPTO!D$8:D$269))</f>
        <v>UND</v>
      </c>
      <c r="D25" s="90" t="str">
        <f>IF(LOOKUP(M25,PPTO!$J$8:$J$269,PPTO!E$8:E$269)=0," ",LOOKUP(M25,PPTO!$J$8:$J$269,PPTO!E$8:E$269))</f>
        <v xml:space="preserve"> </v>
      </c>
      <c r="E25" s="90" t="str">
        <f>IF(LOOKUP(M25,PPTO!$J$8:$J$269,PPTO!F$8:F$269)=0," ",LOOKUP(M25,PPTO!$J$8:$J$269,PPTO!F$8:F$269))</f>
        <v xml:space="preserve"> </v>
      </c>
      <c r="F25" s="90" t="str">
        <f>IF(LOOKUP(M25,PPTO!$J$8:$J$269,PPTO!H$8:H$269)=0," ",LOOKUP(M25,PPTO!$J$8:$J$269,PPTO!H$8:H$269))</f>
        <v xml:space="preserve"> </v>
      </c>
      <c r="G25" s="178">
        <v>200</v>
      </c>
      <c r="H25" s="102" t="e">
        <f t="shared" si="1"/>
        <v>#VALUE!</v>
      </c>
      <c r="I25" s="174">
        <v>0</v>
      </c>
      <c r="J25" s="102" t="e">
        <f t="shared" si="2"/>
        <v>#VALUE!</v>
      </c>
      <c r="K25" s="102" t="e">
        <f>I25+'ACTA PARCIAL No.9'!K25</f>
        <v>#REF!</v>
      </c>
      <c r="L25" s="102" t="e">
        <f t="shared" si="3"/>
        <v>#REF!</v>
      </c>
      <c r="M25" s="108">
        <f t="shared" si="0"/>
        <v>9</v>
      </c>
    </row>
    <row r="26" spans="1:13">
      <c r="A26" s="87">
        <f>IF(LOOKUP(M26,PPTO!$J$8:$J$269,PPTO!A$8:A$269)=0," ",LOOKUP(M26,PPTO!$J$8:$J$269,PPTO!A$8:A$269))</f>
        <v>3</v>
      </c>
      <c r="B26" s="91" t="str">
        <f>IF(LOOKUP(M26,PPTO!$J$8:J$269,PPTO!B$8:B$269)=0," ",LOOKUP(M26,PPTO!$J$8:J$269,PPTO!B$8:B$269))</f>
        <v>MOVIMIENTOS DE TIERRA</v>
      </c>
      <c r="C26" s="89" t="str">
        <f>IF(LOOKUP(M26,PPTO!$J$8:$J$269,PPTO!D$8:D$269)=0," ",LOOKUP(M26,PPTO!$J$8:$J$269,PPTO!D$8:D$269))</f>
        <v xml:space="preserve"> </v>
      </c>
      <c r="D26" s="90" t="str">
        <f>IF(LOOKUP(M26,PPTO!$J$8:$J$269,PPTO!E$8:E$269)=0," ",LOOKUP(M26,PPTO!$J$8:$J$269,PPTO!E$8:E$269))</f>
        <v xml:space="preserve"> </v>
      </c>
      <c r="E26" s="90" t="str">
        <f>IF(LOOKUP(M26,PPTO!$J$8:$J$269,PPTO!F$8:F$269)=0," ",LOOKUP(M26,PPTO!$J$8:$J$269,PPTO!F$8:F$269))</f>
        <v xml:space="preserve"> </v>
      </c>
      <c r="F26" s="90" t="str">
        <f>IF(LOOKUP(M26,PPTO!$J$8:$J$269,PPTO!H$8:H$269)=0," ",LOOKUP(M26,PPTO!$J$8:$J$269,PPTO!H$8:H$269))</f>
        <v xml:space="preserve"> </v>
      </c>
      <c r="G26" s="178"/>
      <c r="H26" s="102"/>
      <c r="I26" s="174"/>
      <c r="J26" s="102"/>
      <c r="K26" s="102"/>
      <c r="L26" s="102"/>
      <c r="M26" s="108">
        <f t="shared" si="0"/>
        <v>10</v>
      </c>
    </row>
    <row r="27" spans="1:13">
      <c r="A27" s="87" t="str">
        <f>IF(LOOKUP(M27,PPTO!$J$8:$J$269,PPTO!A$8:A$269)=0," ",LOOKUP(M27,PPTO!$J$8:$J$269,PPTO!A$8:A$269))</f>
        <v>3.01</v>
      </c>
      <c r="B27" s="91" t="str">
        <f>IF(LOOKUP(M27,PPTO!$J$8:J$269,PPTO!B$8:B$269)=0," ",LOOKUP(M27,PPTO!$J$8:J$269,PPTO!B$8:B$269))</f>
        <v xml:space="preserve"> </v>
      </c>
      <c r="C27" s="89" t="str">
        <f>IF(LOOKUP(M27,PPTO!$J$8:$J$269,PPTO!D$8:D$269)=0," ",LOOKUP(M27,PPTO!$J$8:$J$269,PPTO!D$8:D$269))</f>
        <v>M3</v>
      </c>
      <c r="D27" s="90" t="str">
        <f>IF(LOOKUP(M27,PPTO!$J$8:$J$269,PPTO!E$8:E$269)=0," ",LOOKUP(M27,PPTO!$J$8:$J$269,PPTO!E$8:E$269))</f>
        <v xml:space="preserve"> </v>
      </c>
      <c r="E27" s="90" t="str">
        <f>IF(LOOKUP(M27,PPTO!$J$8:$J$269,PPTO!F$8:F$269)=0," ",LOOKUP(M27,PPTO!$J$8:$J$269,PPTO!F$8:F$269))</f>
        <v xml:space="preserve"> </v>
      </c>
      <c r="F27" s="90" t="str">
        <f>IF(LOOKUP(M27,PPTO!$J$8:$J$269,PPTO!H$8:H$269)=0," ",LOOKUP(M27,PPTO!$J$8:$J$269,PPTO!H$8:H$269))</f>
        <v xml:space="preserve"> </v>
      </c>
      <c r="G27" s="178">
        <v>243</v>
      </c>
      <c r="H27" s="102" t="e">
        <f t="shared" si="1"/>
        <v>#VALUE!</v>
      </c>
      <c r="I27" s="174">
        <v>0</v>
      </c>
      <c r="J27" s="102" t="e">
        <f t="shared" si="2"/>
        <v>#VALUE!</v>
      </c>
      <c r="K27" s="102" t="e">
        <f>I27+'ACTA PARCIAL No.9'!K27</f>
        <v>#REF!</v>
      </c>
      <c r="L27" s="102" t="e">
        <f t="shared" si="3"/>
        <v>#REF!</v>
      </c>
      <c r="M27" s="108">
        <f t="shared" si="0"/>
        <v>11</v>
      </c>
    </row>
    <row r="28" spans="1:13">
      <c r="A28" s="87" t="str">
        <f>IF(LOOKUP(M28,PPTO!$J$8:$J$269,PPTO!A$8:A$269)=0," ",LOOKUP(M28,PPTO!$J$8:$J$269,PPTO!A$8:A$269))</f>
        <v>3.02</v>
      </c>
      <c r="B28" s="91" t="str">
        <f>IF(LOOKUP(M28,PPTO!$J$8:J$269,PPTO!B$8:B$269)=0," ",LOOKUP(M28,PPTO!$J$8:J$269,PPTO!B$8:B$269))</f>
        <v xml:space="preserve"> </v>
      </c>
      <c r="C28" s="89" t="str">
        <f>IF(LOOKUP(M28,PPTO!$J$8:$J$269,PPTO!D$8:D$269)=0," ",LOOKUP(M28,PPTO!$J$8:$J$269,PPTO!D$8:D$269))</f>
        <v>M3</v>
      </c>
      <c r="D28" s="90" t="str">
        <f>IF(LOOKUP(M28,PPTO!$J$8:$J$269,PPTO!E$8:E$269)=0," ",LOOKUP(M28,PPTO!$J$8:$J$269,PPTO!E$8:E$269))</f>
        <v xml:space="preserve"> </v>
      </c>
      <c r="E28" s="90" t="str">
        <f>IF(LOOKUP(M28,PPTO!$J$8:$J$269,PPTO!F$8:F$269)=0," ",LOOKUP(M28,PPTO!$J$8:$J$269,PPTO!F$8:F$269))</f>
        <v xml:space="preserve"> </v>
      </c>
      <c r="F28" s="90" t="str">
        <f>IF(LOOKUP(M28,PPTO!$J$8:$J$269,PPTO!H$8:H$269)=0," ",LOOKUP(M28,PPTO!$J$8:$J$269,PPTO!H$8:H$269))</f>
        <v xml:space="preserve"> </v>
      </c>
      <c r="G28" s="178">
        <v>2018.33</v>
      </c>
      <c r="H28" s="102" t="e">
        <f t="shared" si="1"/>
        <v>#VALUE!</v>
      </c>
      <c r="I28" s="174">
        <v>0</v>
      </c>
      <c r="J28" s="102" t="e">
        <f t="shared" si="2"/>
        <v>#VALUE!</v>
      </c>
      <c r="K28" s="102" t="e">
        <f>I28+'ACTA PARCIAL No.9'!K28</f>
        <v>#REF!</v>
      </c>
      <c r="L28" s="102" t="e">
        <f t="shared" si="3"/>
        <v>#REF!</v>
      </c>
      <c r="M28" s="108">
        <f>M27+1</f>
        <v>12</v>
      </c>
    </row>
    <row r="29" spans="1:13">
      <c r="A29" s="87" t="str">
        <f>IF(LOOKUP(M29,PPTO!$J$8:$J$269,PPTO!A$8:A$269)=0," ",LOOKUP(M29,PPTO!$J$8:$J$269,PPTO!A$8:A$269))</f>
        <v>3.03</v>
      </c>
      <c r="B29" s="91" t="str">
        <f>IF(LOOKUP(M29,PPTO!$J$8:J$269,PPTO!B$8:B$269)=0," ",LOOKUP(M29,PPTO!$J$8:J$269,PPTO!B$8:B$269))</f>
        <v xml:space="preserve"> </v>
      </c>
      <c r="C29" s="89" t="str">
        <f>IF(LOOKUP(M29,PPTO!$J$8:$J$269,PPTO!D$8:D$269)=0," ",LOOKUP(M29,PPTO!$J$8:$J$269,PPTO!D$8:D$269))</f>
        <v>M3</v>
      </c>
      <c r="D29" s="90" t="str">
        <f>IF(LOOKUP(M29,PPTO!$J$8:$J$269,PPTO!E$8:E$269)=0," ",LOOKUP(M29,PPTO!$J$8:$J$269,PPTO!E$8:E$269))</f>
        <v xml:space="preserve"> </v>
      </c>
      <c r="E29" s="90" t="str">
        <f>IF(LOOKUP(M29,PPTO!$J$8:$J$269,PPTO!F$8:F$269)=0," ",LOOKUP(M29,PPTO!$J$8:$J$269,PPTO!F$8:F$269))</f>
        <v xml:space="preserve"> </v>
      </c>
      <c r="F29" s="90" t="str">
        <f>IF(LOOKUP(M29,PPTO!$J$8:$J$269,PPTO!H$8:H$269)=0," ",LOOKUP(M29,PPTO!$J$8:$J$269,PPTO!H$8:H$269))</f>
        <v xml:space="preserve"> </v>
      </c>
      <c r="G29" s="178">
        <v>1587.38</v>
      </c>
      <c r="H29" s="102" t="e">
        <f t="shared" si="1"/>
        <v>#VALUE!</v>
      </c>
      <c r="I29" s="174">
        <v>0</v>
      </c>
      <c r="J29" s="102" t="e">
        <f t="shared" si="2"/>
        <v>#VALUE!</v>
      </c>
      <c r="K29" s="102" t="e">
        <f>I29+'ACTA PARCIAL No.9'!K29</f>
        <v>#REF!</v>
      </c>
      <c r="L29" s="102" t="e">
        <f t="shared" si="3"/>
        <v>#REF!</v>
      </c>
      <c r="M29" s="108">
        <f>M28+1</f>
        <v>13</v>
      </c>
    </row>
    <row r="30" spans="1:13">
      <c r="A30" s="87" t="str">
        <f>IF(LOOKUP(M30,PPTO!$J$8:$J$269,PPTO!A$8:A$269)=0," ",LOOKUP(M30,PPTO!$J$8:$J$269,PPTO!A$8:A$269))</f>
        <v>3.04</v>
      </c>
      <c r="B30" s="91" t="str">
        <f>IF(LOOKUP(M30,PPTO!$J$8:J$269,PPTO!B$8:B$269)=0," ",LOOKUP(M30,PPTO!$J$8:J$269,PPTO!B$8:B$269))</f>
        <v xml:space="preserve"> </v>
      </c>
      <c r="C30" s="89" t="str">
        <f>IF(LOOKUP(M30,PPTO!$J$8:$J$269,PPTO!D$8:D$269)=0," ",LOOKUP(M30,PPTO!$J$8:$J$269,PPTO!D$8:D$269))</f>
        <v>M3</v>
      </c>
      <c r="D30" s="90" t="str">
        <f>IF(LOOKUP(M30,PPTO!$J$8:$J$269,PPTO!E$8:E$269)=0," ",LOOKUP(M30,PPTO!$J$8:$J$269,PPTO!E$8:E$269))</f>
        <v xml:space="preserve"> </v>
      </c>
      <c r="E30" s="90" t="str">
        <f>IF(LOOKUP(M30,PPTO!$J$8:$J$269,PPTO!F$8:F$269)=0," ",LOOKUP(M30,PPTO!$J$8:$J$269,PPTO!F$8:F$269))</f>
        <v xml:space="preserve"> </v>
      </c>
      <c r="F30" s="90" t="str">
        <f>IF(LOOKUP(M30,PPTO!$J$8:$J$269,PPTO!H$8:H$269)=0," ",LOOKUP(M30,PPTO!$J$8:$J$269,PPTO!H$8:H$269))</f>
        <v xml:space="preserve"> </v>
      </c>
      <c r="G30" s="178">
        <v>21041</v>
      </c>
      <c r="H30" s="102" t="e">
        <f t="shared" si="1"/>
        <v>#VALUE!</v>
      </c>
      <c r="I30" s="174">
        <v>0</v>
      </c>
      <c r="J30" s="102" t="e">
        <f t="shared" si="2"/>
        <v>#VALUE!</v>
      </c>
      <c r="K30" s="102" t="e">
        <f>I30+'ACTA PARCIAL No.9'!K30</f>
        <v>#REF!</v>
      </c>
      <c r="L30" s="102" t="e">
        <f t="shared" si="3"/>
        <v>#REF!</v>
      </c>
      <c r="M30" s="108">
        <f t="shared" si="0"/>
        <v>14</v>
      </c>
    </row>
    <row r="31" spans="1:13">
      <c r="A31" s="87" t="str">
        <f>IF(LOOKUP(M31,PPTO!$J$8:$J$269,PPTO!A$8:A$269)=0," ",LOOKUP(M31,PPTO!$J$8:$J$269,PPTO!A$8:A$269))</f>
        <v>3.05</v>
      </c>
      <c r="B31" s="91" t="str">
        <f>IF(LOOKUP(M31,PPTO!$J$8:J$269,PPTO!B$8:B$269)=0," ",LOOKUP(M31,PPTO!$J$8:J$269,PPTO!B$8:B$269))</f>
        <v xml:space="preserve"> </v>
      </c>
      <c r="C31" s="89" t="str">
        <f>IF(LOOKUP(M31,PPTO!$J$8:$J$269,PPTO!D$8:D$269)=0," ",LOOKUP(M31,PPTO!$J$8:$J$269,PPTO!D$8:D$269))</f>
        <v>M3</v>
      </c>
      <c r="D31" s="90" t="str">
        <f>IF(LOOKUP(M31,PPTO!$J$8:$J$269,PPTO!E$8:E$269)=0," ",LOOKUP(M31,PPTO!$J$8:$J$269,PPTO!E$8:E$269))</f>
        <v xml:space="preserve"> </v>
      </c>
      <c r="E31" s="90" t="str">
        <f>IF(LOOKUP(M31,PPTO!$J$8:$J$269,PPTO!F$8:F$269)=0," ",LOOKUP(M31,PPTO!$J$8:$J$269,PPTO!F$8:F$269))</f>
        <v xml:space="preserve"> </v>
      </c>
      <c r="F31" s="90" t="str">
        <f>IF(LOOKUP(M31,PPTO!$J$8:$J$269,PPTO!H$8:H$269)=0," ",LOOKUP(M31,PPTO!$J$8:$J$269,PPTO!H$8:H$269))</f>
        <v xml:space="preserve"> </v>
      </c>
      <c r="G31" s="178">
        <v>936.85</v>
      </c>
      <c r="H31" s="102" t="e">
        <f t="shared" si="1"/>
        <v>#VALUE!</v>
      </c>
      <c r="I31" s="174">
        <v>0</v>
      </c>
      <c r="J31" s="102" t="e">
        <f t="shared" si="2"/>
        <v>#VALUE!</v>
      </c>
      <c r="K31" s="102" t="e">
        <f>I31+'ACTA PARCIAL No.9'!K31</f>
        <v>#REF!</v>
      </c>
      <c r="L31" s="102" t="e">
        <f t="shared" si="3"/>
        <v>#REF!</v>
      </c>
      <c r="M31" s="108">
        <f t="shared" si="0"/>
        <v>15</v>
      </c>
    </row>
    <row r="32" spans="1:13">
      <c r="A32" s="87" t="str">
        <f>IF(LOOKUP(M32,PPTO!$J$8:$J$269,PPTO!A$8:A$269)=0," ",LOOKUP(M32,PPTO!$J$8:$J$269,PPTO!A$8:A$269))</f>
        <v>3.06</v>
      </c>
      <c r="B32" s="91" t="str">
        <f>IF(LOOKUP(M32,PPTO!$J$8:J$269,PPTO!B$8:B$269)=0," ",LOOKUP(M32,PPTO!$J$8:J$269,PPTO!B$8:B$269))</f>
        <v xml:space="preserve"> </v>
      </c>
      <c r="C32" s="89" t="str">
        <f>IF(LOOKUP(M32,PPTO!$J$8:$J$269,PPTO!D$8:D$269)=0," ",LOOKUP(M32,PPTO!$J$8:$J$269,PPTO!D$8:D$269))</f>
        <v>M3</v>
      </c>
      <c r="D32" s="90" t="str">
        <f>IF(LOOKUP(M32,PPTO!$J$8:$J$269,PPTO!E$8:E$269)=0," ",LOOKUP(M32,PPTO!$J$8:$J$269,PPTO!E$8:E$269))</f>
        <v xml:space="preserve"> </v>
      </c>
      <c r="E32" s="90" t="str">
        <f>IF(LOOKUP(M32,PPTO!$J$8:$J$269,PPTO!F$8:F$269)=0," ",LOOKUP(M32,PPTO!$J$8:$J$269,PPTO!F$8:F$269))</f>
        <v xml:space="preserve"> </v>
      </c>
      <c r="F32" s="90" t="str">
        <f>IF(LOOKUP(M32,PPTO!$J$8:$J$269,PPTO!H$8:H$269)=0," ",LOOKUP(M32,PPTO!$J$8:$J$269,PPTO!H$8:H$269))</f>
        <v xml:space="preserve"> </v>
      </c>
      <c r="G32" s="178">
        <v>2018.33</v>
      </c>
      <c r="H32" s="102" t="e">
        <f t="shared" si="1"/>
        <v>#VALUE!</v>
      </c>
      <c r="I32" s="174">
        <v>0</v>
      </c>
      <c r="J32" s="102" t="e">
        <f t="shared" si="2"/>
        <v>#VALUE!</v>
      </c>
      <c r="K32" s="102" t="e">
        <f>I32+'ACTA PARCIAL No.9'!K32</f>
        <v>#REF!</v>
      </c>
      <c r="L32" s="102" t="e">
        <f t="shared" si="3"/>
        <v>#REF!</v>
      </c>
      <c r="M32" s="108">
        <f t="shared" si="0"/>
        <v>16</v>
      </c>
    </row>
    <row r="33" spans="1:13">
      <c r="A33" s="87" t="str">
        <f>IF(LOOKUP(M33,PPTO!$J$8:$J$269,PPTO!A$8:A$269)=0," ",LOOKUP(M33,PPTO!$J$8:$J$269,PPTO!A$8:A$269))</f>
        <v>3.07</v>
      </c>
      <c r="B33" s="91" t="str">
        <f>IF(LOOKUP(M33,PPTO!$J$8:J$269,PPTO!B$8:B$269)=0," ",LOOKUP(M33,PPTO!$J$8:J$269,PPTO!B$8:B$269))</f>
        <v xml:space="preserve"> </v>
      </c>
      <c r="C33" s="89" t="str">
        <f>IF(LOOKUP(M33,PPTO!$J$8:$J$269,PPTO!D$8:D$269)=0," ",LOOKUP(M33,PPTO!$J$8:$J$269,PPTO!D$8:D$269))</f>
        <v>M3</v>
      </c>
      <c r="D33" s="90" t="str">
        <f>IF(LOOKUP(M33,PPTO!$J$8:$J$269,PPTO!E$8:E$269)=0," ",LOOKUP(M33,PPTO!$J$8:$J$269,PPTO!E$8:E$269))</f>
        <v xml:space="preserve"> </v>
      </c>
      <c r="E33" s="90" t="str">
        <f>IF(LOOKUP(M33,PPTO!$J$8:$J$269,PPTO!F$8:F$269)=0," ",LOOKUP(M33,PPTO!$J$8:$J$269,PPTO!F$8:F$269))</f>
        <v xml:space="preserve"> </v>
      </c>
      <c r="F33" s="90" t="str">
        <f>IF(LOOKUP(M33,PPTO!$J$8:$J$269,PPTO!H$8:H$269)=0," ",LOOKUP(M33,PPTO!$J$8:$J$269,PPTO!H$8:H$269))</f>
        <v xml:space="preserve"> </v>
      </c>
      <c r="G33" s="178">
        <v>1587.38</v>
      </c>
      <c r="H33" s="102" t="e">
        <f t="shared" si="1"/>
        <v>#VALUE!</v>
      </c>
      <c r="I33" s="174">
        <v>0</v>
      </c>
      <c r="J33" s="102" t="e">
        <f t="shared" si="2"/>
        <v>#VALUE!</v>
      </c>
      <c r="K33" s="102" t="e">
        <f>I33+'ACTA PARCIAL No.9'!K33</f>
        <v>#REF!</v>
      </c>
      <c r="L33" s="102" t="e">
        <f t="shared" si="3"/>
        <v>#REF!</v>
      </c>
      <c r="M33" s="108">
        <f t="shared" si="0"/>
        <v>17</v>
      </c>
    </row>
    <row r="34" spans="1:13">
      <c r="A34" s="87" t="str">
        <f>IF(LOOKUP(M34,PPTO!$J$8:$J$269,PPTO!A$8:A$269)=0," ",LOOKUP(M34,PPTO!$J$8:$J$269,PPTO!A$8:A$269))</f>
        <v>3.08</v>
      </c>
      <c r="B34" s="91" t="str">
        <f>IF(LOOKUP(M34,PPTO!$J$8:J$269,PPTO!B$8:B$269)=0," ",LOOKUP(M34,PPTO!$J$8:J$269,PPTO!B$8:B$269))</f>
        <v xml:space="preserve"> </v>
      </c>
      <c r="C34" s="89" t="str">
        <f>IF(LOOKUP(M34,PPTO!$J$8:$J$269,PPTO!D$8:D$269)=0," ",LOOKUP(M34,PPTO!$J$8:$J$269,PPTO!D$8:D$269))</f>
        <v>M2</v>
      </c>
      <c r="D34" s="90" t="str">
        <f>IF(LOOKUP(M34,PPTO!$J$8:$J$269,PPTO!E$8:E$269)=0," ",LOOKUP(M34,PPTO!$J$8:$J$269,PPTO!E$8:E$269))</f>
        <v xml:space="preserve"> </v>
      </c>
      <c r="E34" s="90" t="str">
        <f>IF(LOOKUP(M34,PPTO!$J$8:$J$269,PPTO!F$8:F$269)=0," ",LOOKUP(M34,PPTO!$J$8:$J$269,PPTO!F$8:F$269))</f>
        <v xml:space="preserve"> </v>
      </c>
      <c r="F34" s="90" t="str">
        <f>IF(LOOKUP(M34,PPTO!$J$8:$J$269,PPTO!H$8:H$269)=0," ",LOOKUP(M34,PPTO!$J$8:$J$269,PPTO!H$8:H$269))</f>
        <v xml:space="preserve"> </v>
      </c>
      <c r="G34" s="178">
        <v>10500</v>
      </c>
      <c r="H34" s="102" t="e">
        <f t="shared" si="1"/>
        <v>#VALUE!</v>
      </c>
      <c r="I34" s="174">
        <v>0</v>
      </c>
      <c r="J34" s="102" t="e">
        <f t="shared" si="2"/>
        <v>#VALUE!</v>
      </c>
      <c r="K34" s="102" t="e">
        <f>I34+'ACTA PARCIAL No.9'!K34</f>
        <v>#REF!</v>
      </c>
      <c r="L34" s="102" t="e">
        <f t="shared" si="3"/>
        <v>#REF!</v>
      </c>
      <c r="M34" s="108">
        <f t="shared" si="0"/>
        <v>18</v>
      </c>
    </row>
    <row r="35" spans="1:13">
      <c r="A35" s="87" t="str">
        <f>IF(LOOKUP(M35,PPTO!$J$8:$J$269,PPTO!A$8:A$269)=0," ",LOOKUP(M35,PPTO!$J$8:$J$269,PPTO!A$8:A$269))</f>
        <v>3.09</v>
      </c>
      <c r="B35" s="91" t="str">
        <f>IF(LOOKUP(M35,PPTO!$J$8:J$269,PPTO!B$8:B$269)=0," ",LOOKUP(M35,PPTO!$J$8:J$269,PPTO!B$8:B$269))</f>
        <v xml:space="preserve"> </v>
      </c>
      <c r="C35" s="89" t="str">
        <f>IF(LOOKUP(M35,PPTO!$J$8:$J$269,PPTO!D$8:D$269)=0," ",LOOKUP(M35,PPTO!$J$8:$J$269,PPTO!D$8:D$269))</f>
        <v>UND</v>
      </c>
      <c r="D35" s="90" t="str">
        <f>IF(LOOKUP(M35,PPTO!$J$8:$J$269,PPTO!E$8:E$269)=0," ",LOOKUP(M35,PPTO!$J$8:$J$269,PPTO!E$8:E$269))</f>
        <v xml:space="preserve"> </v>
      </c>
      <c r="E35" s="90" t="str">
        <f>IF(LOOKUP(M35,PPTO!$J$8:$J$269,PPTO!F$8:F$269)=0," ",LOOKUP(M35,PPTO!$J$8:$J$269,PPTO!F$8:F$269))</f>
        <v xml:space="preserve"> </v>
      </c>
      <c r="F35" s="90" t="str">
        <f>IF(LOOKUP(M35,PPTO!$J$8:$J$269,PPTO!H$8:H$269)=0," ",LOOKUP(M35,PPTO!$J$8:$J$269,PPTO!H$8:H$269))</f>
        <v xml:space="preserve"> </v>
      </c>
      <c r="G35" s="178">
        <v>936.85</v>
      </c>
      <c r="H35" s="102" t="e">
        <f t="shared" si="1"/>
        <v>#VALUE!</v>
      </c>
      <c r="I35" s="174">
        <v>0</v>
      </c>
      <c r="J35" s="102" t="e">
        <f t="shared" si="2"/>
        <v>#VALUE!</v>
      </c>
      <c r="K35" s="102" t="e">
        <f>I35+'ACTA PARCIAL No.9'!K35</f>
        <v>#REF!</v>
      </c>
      <c r="L35" s="102" t="e">
        <f t="shared" si="3"/>
        <v>#REF!</v>
      </c>
      <c r="M35" s="108">
        <f t="shared" si="0"/>
        <v>19</v>
      </c>
    </row>
    <row r="36" spans="1:13">
      <c r="A36" s="87" t="str">
        <f>IF(LOOKUP(M36,PPTO!$J$8:$J$269,PPTO!A$8:A$269)=0," ",LOOKUP(M36,PPTO!$J$8:$J$269,PPTO!A$8:A$269))</f>
        <v>3.10</v>
      </c>
      <c r="B36" s="91" t="str">
        <f>IF(LOOKUP(M36,PPTO!$J$8:J$269,PPTO!B$8:B$269)=0," ",LOOKUP(M36,PPTO!$J$8:J$269,PPTO!B$8:B$269))</f>
        <v xml:space="preserve"> </v>
      </c>
      <c r="C36" s="89" t="str">
        <f>IF(LOOKUP(M36,PPTO!$J$8:$J$269,PPTO!D$8:D$269)=0," ",LOOKUP(M36,PPTO!$J$8:$J$269,PPTO!D$8:D$269))</f>
        <v>M3</v>
      </c>
      <c r="D36" s="90" t="str">
        <f>IF(LOOKUP(M36,PPTO!$J$8:$J$269,PPTO!E$8:E$269)=0," ",LOOKUP(M36,PPTO!$J$8:$J$269,PPTO!E$8:E$269))</f>
        <v xml:space="preserve"> </v>
      </c>
      <c r="E36" s="90" t="str">
        <f>IF(LOOKUP(M36,PPTO!$J$8:$J$269,PPTO!F$8:F$269)=0," ",LOOKUP(M36,PPTO!$J$8:$J$269,PPTO!F$8:F$269))</f>
        <v xml:space="preserve"> </v>
      </c>
      <c r="F36" s="90" t="str">
        <f>IF(LOOKUP(M36,PPTO!$J$8:$J$269,PPTO!H$8:H$269)=0," ",LOOKUP(M36,PPTO!$J$8:$J$269,PPTO!H$8:H$269))</f>
        <v xml:space="preserve"> </v>
      </c>
      <c r="G36" s="178">
        <v>2018.33</v>
      </c>
      <c r="H36" s="102" t="e">
        <f t="shared" si="1"/>
        <v>#VALUE!</v>
      </c>
      <c r="I36" s="174">
        <v>0</v>
      </c>
      <c r="J36" s="102" t="e">
        <f t="shared" si="2"/>
        <v>#VALUE!</v>
      </c>
      <c r="K36" s="102" t="e">
        <f>I36+'ACTA PARCIAL No.9'!K36</f>
        <v>#REF!</v>
      </c>
      <c r="L36" s="102" t="e">
        <f t="shared" si="3"/>
        <v>#REF!</v>
      </c>
      <c r="M36" s="108">
        <f t="shared" si="0"/>
        <v>20</v>
      </c>
    </row>
    <row r="37" spans="1:13">
      <c r="A37" s="87" t="str">
        <f>IF(LOOKUP(M37,PPTO!$J$8:$J$269,PPTO!A$8:A$269)=0," ",LOOKUP(M37,PPTO!$J$8:$J$269,PPTO!A$8:A$269))</f>
        <v>3.11</v>
      </c>
      <c r="B37" s="91" t="str">
        <f>IF(LOOKUP(M37,PPTO!$J$8:J$269,PPTO!B$8:B$269)=0," ",LOOKUP(M37,PPTO!$J$8:J$269,PPTO!B$8:B$269))</f>
        <v xml:space="preserve"> </v>
      </c>
      <c r="C37" s="89" t="str">
        <f>IF(LOOKUP(M37,PPTO!$J$8:$J$269,PPTO!D$8:D$269)=0," ",LOOKUP(M37,PPTO!$J$8:$J$269,PPTO!D$8:D$269))</f>
        <v>M3</v>
      </c>
      <c r="D37" s="90" t="str">
        <f>IF(LOOKUP(M37,PPTO!$J$8:$J$269,PPTO!E$8:E$269)=0," ",LOOKUP(M37,PPTO!$J$8:$J$269,PPTO!E$8:E$269))</f>
        <v xml:space="preserve"> </v>
      </c>
      <c r="E37" s="90" t="str">
        <f>IF(LOOKUP(M37,PPTO!$J$8:$J$269,PPTO!F$8:F$269)=0," ",LOOKUP(M37,PPTO!$J$8:$J$269,PPTO!F$8:F$269))</f>
        <v xml:space="preserve"> </v>
      </c>
      <c r="F37" s="90" t="str">
        <f>IF(LOOKUP(M37,PPTO!$J$8:$J$269,PPTO!H$8:H$269)=0," ",LOOKUP(M37,PPTO!$J$8:$J$269,PPTO!H$8:H$269))</f>
        <v xml:space="preserve"> </v>
      </c>
      <c r="G37" s="178">
        <v>18000</v>
      </c>
      <c r="H37" s="102" t="e">
        <f t="shared" si="1"/>
        <v>#VALUE!</v>
      </c>
      <c r="I37" s="174">
        <v>0</v>
      </c>
      <c r="J37" s="102" t="e">
        <f t="shared" si="2"/>
        <v>#VALUE!</v>
      </c>
      <c r="K37" s="102" t="e">
        <f>I37+'ACTA PARCIAL No.9'!K37</f>
        <v>#REF!</v>
      </c>
      <c r="L37" s="102" t="e">
        <f t="shared" si="3"/>
        <v>#REF!</v>
      </c>
      <c r="M37" s="108">
        <f t="shared" si="0"/>
        <v>21</v>
      </c>
    </row>
    <row r="38" spans="1:13">
      <c r="A38" s="87" t="str">
        <f>IF(LOOKUP(M38,PPTO!$J$8:$J$269,PPTO!A$8:A$269)=0," ",LOOKUP(M38,PPTO!$J$8:$J$269,PPTO!A$8:A$269))</f>
        <v>3.12</v>
      </c>
      <c r="B38" s="91" t="str">
        <f>IF(LOOKUP(M38,PPTO!$J$8:J$269,PPTO!B$8:B$269)=0," ",LOOKUP(M38,PPTO!$J$8:J$269,PPTO!B$8:B$269))</f>
        <v xml:space="preserve"> </v>
      </c>
      <c r="C38" s="89" t="str">
        <f>IF(LOOKUP(M38,PPTO!$J$8:$J$269,PPTO!D$8:D$269)=0," ",LOOKUP(M38,PPTO!$J$8:$J$269,PPTO!D$8:D$269))</f>
        <v>M3</v>
      </c>
      <c r="D38" s="90" t="str">
        <f>IF(LOOKUP(M38,PPTO!$J$8:$J$269,PPTO!E$8:E$269)=0," ",LOOKUP(M38,PPTO!$J$8:$J$269,PPTO!E$8:E$269))</f>
        <v xml:space="preserve"> </v>
      </c>
      <c r="E38" s="90" t="str">
        <f>IF(LOOKUP(M38,PPTO!$J$8:$J$269,PPTO!F$8:F$269)=0," ",LOOKUP(M38,PPTO!$J$8:$J$269,PPTO!F$8:F$269))</f>
        <v xml:space="preserve"> </v>
      </c>
      <c r="F38" s="90" t="str">
        <f>IF(LOOKUP(M38,PPTO!$J$8:$J$269,PPTO!H$8:H$269)=0," ",LOOKUP(M38,PPTO!$J$8:$J$269,PPTO!H$8:H$269))</f>
        <v xml:space="preserve"> </v>
      </c>
      <c r="G38" s="178">
        <v>3173.33</v>
      </c>
      <c r="H38" s="102" t="e">
        <f t="shared" si="1"/>
        <v>#VALUE!</v>
      </c>
      <c r="I38" s="174">
        <v>0</v>
      </c>
      <c r="J38" s="102" t="e">
        <f t="shared" si="2"/>
        <v>#VALUE!</v>
      </c>
      <c r="K38" s="102" t="e">
        <f>I38+'ACTA PARCIAL No.9'!K38</f>
        <v>#REF!</v>
      </c>
      <c r="L38" s="102" t="e">
        <f t="shared" si="3"/>
        <v>#REF!</v>
      </c>
      <c r="M38" s="108">
        <f t="shared" si="0"/>
        <v>22</v>
      </c>
    </row>
    <row r="39" spans="1:13">
      <c r="A39" s="87">
        <f>IF(LOOKUP(M39,PPTO!$J$8:$J$269,PPTO!A$8:A$269)=0," ",LOOKUP(M39,PPTO!$J$8:$J$269,PPTO!A$8:A$269))</f>
        <v>4</v>
      </c>
      <c r="B39" s="91" t="str">
        <f>IF(LOOKUP(M39,PPTO!$J$8:J$269,PPTO!B$8:B$269)=0," ",LOOKUP(M39,PPTO!$J$8:J$269,PPTO!B$8:B$269))</f>
        <v>TUBERIA DE ALCANTARILLADO</v>
      </c>
      <c r="C39" s="89" t="str">
        <f>IF(LOOKUP(M39,PPTO!$J$8:$J$269,PPTO!D$8:D$269)=0," ",LOOKUP(M39,PPTO!$J$8:$J$269,PPTO!D$8:D$269))</f>
        <v xml:space="preserve"> </v>
      </c>
      <c r="D39" s="90" t="str">
        <f>IF(LOOKUP(M39,PPTO!$J$8:$J$269,PPTO!E$8:E$269)=0," ",LOOKUP(M39,PPTO!$J$8:$J$269,PPTO!E$8:E$269))</f>
        <v xml:space="preserve"> </v>
      </c>
      <c r="E39" s="90" t="str">
        <f>IF(LOOKUP(M39,PPTO!$J$8:$J$269,PPTO!F$8:F$269)=0," ",LOOKUP(M39,PPTO!$J$8:$J$269,PPTO!F$8:F$269))</f>
        <v xml:space="preserve"> </v>
      </c>
      <c r="F39" s="90" t="str">
        <f>IF(LOOKUP(M39,PPTO!$J$8:$J$269,PPTO!H$8:H$269)=0," ",LOOKUP(M39,PPTO!$J$8:$J$269,PPTO!H$8:H$269))</f>
        <v xml:space="preserve"> </v>
      </c>
      <c r="G39" s="178"/>
      <c r="H39" s="102"/>
      <c r="I39" s="174"/>
      <c r="J39" s="102"/>
      <c r="K39" s="102"/>
      <c r="L39" s="102"/>
      <c r="M39" s="108">
        <f t="shared" si="0"/>
        <v>23</v>
      </c>
    </row>
    <row r="40" spans="1:13">
      <c r="A40" s="87" t="str">
        <f>IF(LOOKUP(M40,PPTO!$J$8:$J$269,PPTO!A$8:A$269)=0," ",LOOKUP(M40,PPTO!$J$8:$J$269,PPTO!A$8:A$269))</f>
        <v>4.01</v>
      </c>
      <c r="B40" s="91" t="str">
        <f>IF(LOOKUP(M40,PPTO!$J$8:J$269,PPTO!B$8:B$269)=0," ",LOOKUP(M40,PPTO!$J$8:J$269,PPTO!B$8:B$269))</f>
        <v xml:space="preserve"> </v>
      </c>
      <c r="C40" s="89" t="str">
        <f>IF(LOOKUP(M40,PPTO!$J$8:$J$269,PPTO!D$8:D$269)=0," ",LOOKUP(M40,PPTO!$J$8:$J$269,PPTO!D$8:D$269))</f>
        <v>ML</v>
      </c>
      <c r="D40" s="90" t="str">
        <f>IF(LOOKUP(M40,PPTO!$J$8:$J$269,PPTO!E$8:E$269)=0," ",LOOKUP(M40,PPTO!$J$8:$J$269,PPTO!E$8:E$269))</f>
        <v xml:space="preserve"> </v>
      </c>
      <c r="E40" s="90" t="str">
        <f>IF(LOOKUP(M40,PPTO!$J$8:$J$269,PPTO!F$8:F$269)=0," ",LOOKUP(M40,PPTO!$J$8:$J$269,PPTO!F$8:F$269))</f>
        <v xml:space="preserve"> </v>
      </c>
      <c r="F40" s="90" t="str">
        <f>IF(LOOKUP(M40,PPTO!$J$8:$J$269,PPTO!H$8:H$269)=0," ",LOOKUP(M40,PPTO!$J$8:$J$269,PPTO!H$8:H$269))</f>
        <v xml:space="preserve"> </v>
      </c>
      <c r="G40" s="178">
        <v>7554</v>
      </c>
      <c r="H40" s="102" t="e">
        <f t="shared" si="1"/>
        <v>#VALUE!</v>
      </c>
      <c r="I40" s="174">
        <v>9</v>
      </c>
      <c r="J40" s="102" t="e">
        <f t="shared" si="2"/>
        <v>#VALUE!</v>
      </c>
      <c r="K40" s="102" t="e">
        <f>I40+'ACTA PARCIAL No.9'!K40</f>
        <v>#REF!</v>
      </c>
      <c r="L40" s="102" t="e">
        <f t="shared" si="3"/>
        <v>#REF!</v>
      </c>
      <c r="M40" s="108">
        <f t="shared" si="0"/>
        <v>24</v>
      </c>
    </row>
    <row r="41" spans="1:13">
      <c r="A41" s="87" t="str">
        <f>IF(LOOKUP(M41,PPTO!$J$8:$J$269,PPTO!A$8:A$269)=0," ",LOOKUP(M41,PPTO!$J$8:$J$269,PPTO!A$8:A$269))</f>
        <v>4.02</v>
      </c>
      <c r="B41" s="91" t="str">
        <f>IF(LOOKUP(M41,PPTO!$J$8:J$269,PPTO!B$8:B$269)=0," ",LOOKUP(M41,PPTO!$J$8:J$269,PPTO!B$8:B$269))</f>
        <v xml:space="preserve"> </v>
      </c>
      <c r="C41" s="89" t="str">
        <f>IF(LOOKUP(M41,PPTO!$J$8:$J$269,PPTO!D$8:D$269)=0," ",LOOKUP(M41,PPTO!$J$8:$J$269,PPTO!D$8:D$269))</f>
        <v>ML</v>
      </c>
      <c r="D41" s="90" t="str">
        <f>IF(LOOKUP(M41,PPTO!$J$8:$J$269,PPTO!E$8:E$269)=0," ",LOOKUP(M41,PPTO!$J$8:$J$269,PPTO!E$8:E$269))</f>
        <v xml:space="preserve"> </v>
      </c>
      <c r="E41" s="90" t="str">
        <f>IF(LOOKUP(M41,PPTO!$J$8:$J$269,PPTO!F$8:F$269)=0," ",LOOKUP(M41,PPTO!$J$8:$J$269,PPTO!F$8:F$269))</f>
        <v xml:space="preserve"> </v>
      </c>
      <c r="F41" s="90" t="str">
        <f>IF(LOOKUP(M41,PPTO!$J$8:$J$269,PPTO!H$8:H$269)=0," ",LOOKUP(M41,PPTO!$J$8:$J$269,PPTO!H$8:H$269))</f>
        <v xml:space="preserve"> </v>
      </c>
      <c r="G41" s="178">
        <v>10629.07</v>
      </c>
      <c r="H41" s="102" t="e">
        <f t="shared" si="1"/>
        <v>#VALUE!</v>
      </c>
      <c r="I41" s="174">
        <v>0</v>
      </c>
      <c r="J41" s="102" t="e">
        <f t="shared" si="2"/>
        <v>#VALUE!</v>
      </c>
      <c r="K41" s="102" t="e">
        <f>I41+'ACTA PARCIAL No.9'!K41</f>
        <v>#REF!</v>
      </c>
      <c r="L41" s="102" t="e">
        <f t="shared" si="3"/>
        <v>#REF!</v>
      </c>
      <c r="M41" s="108">
        <f t="shared" si="0"/>
        <v>25</v>
      </c>
    </row>
    <row r="42" spans="1:13">
      <c r="A42" s="87" t="str">
        <f>IF(LOOKUP(M42,PPTO!$J$8:$J$269,PPTO!A$8:A$269)=0," ",LOOKUP(M42,PPTO!$J$8:$J$269,PPTO!A$8:A$269))</f>
        <v>4.03</v>
      </c>
      <c r="B42" s="91" t="str">
        <f>IF(LOOKUP(M42,PPTO!$J$8:J$269,PPTO!B$8:B$269)=0," ",LOOKUP(M42,PPTO!$J$8:J$269,PPTO!B$8:B$269))</f>
        <v xml:space="preserve"> </v>
      </c>
      <c r="C42" s="89" t="str">
        <f>IF(LOOKUP(M42,PPTO!$J$8:$J$269,PPTO!D$8:D$269)=0," ",LOOKUP(M42,PPTO!$J$8:$J$269,PPTO!D$8:D$269))</f>
        <v>ML</v>
      </c>
      <c r="D42" s="90" t="str">
        <f>IF(LOOKUP(M42,PPTO!$J$8:$J$269,PPTO!E$8:E$269)=0," ",LOOKUP(M42,PPTO!$J$8:$J$269,PPTO!E$8:E$269))</f>
        <v xml:space="preserve"> </v>
      </c>
      <c r="E42" s="90" t="str">
        <f>IF(LOOKUP(M42,PPTO!$J$8:$J$269,PPTO!F$8:F$269)=0," ",LOOKUP(M42,PPTO!$J$8:$J$269,PPTO!F$8:F$269))</f>
        <v xml:space="preserve"> </v>
      </c>
      <c r="F42" s="90" t="str">
        <f>IF(LOOKUP(M42,PPTO!$J$8:$J$269,PPTO!H$8:H$269)=0," ",LOOKUP(M42,PPTO!$J$8:$J$269,PPTO!H$8:H$269))</f>
        <v xml:space="preserve"> </v>
      </c>
      <c r="G42" s="178">
        <v>119.02</v>
      </c>
      <c r="H42" s="102" t="e">
        <f t="shared" si="1"/>
        <v>#VALUE!</v>
      </c>
      <c r="I42" s="174">
        <v>0</v>
      </c>
      <c r="J42" s="102" t="e">
        <f t="shared" si="2"/>
        <v>#VALUE!</v>
      </c>
      <c r="K42" s="102" t="e">
        <f>I42+'ACTA PARCIAL No.9'!K42</f>
        <v>#REF!</v>
      </c>
      <c r="L42" s="102" t="e">
        <f t="shared" si="3"/>
        <v>#REF!</v>
      </c>
      <c r="M42" s="108">
        <f t="shared" si="0"/>
        <v>26</v>
      </c>
    </row>
    <row r="43" spans="1:13">
      <c r="A43" s="87" t="str">
        <f>IF(LOOKUP(M43,PPTO!$J$8:$J$269,PPTO!A$8:A$269)=0," ",LOOKUP(M43,PPTO!$J$8:$J$269,PPTO!A$8:A$269))</f>
        <v>4.04</v>
      </c>
      <c r="B43" s="91" t="str">
        <f>IF(LOOKUP(M43,PPTO!$J$8:J$269,PPTO!B$8:B$269)=0," ",LOOKUP(M43,PPTO!$J$8:J$269,PPTO!B$8:B$269))</f>
        <v xml:space="preserve"> </v>
      </c>
      <c r="C43" s="89" t="str">
        <f>IF(LOOKUP(M43,PPTO!$J$8:$J$269,PPTO!D$8:D$269)=0," ",LOOKUP(M43,PPTO!$J$8:$J$269,PPTO!D$8:D$269))</f>
        <v>ML</v>
      </c>
      <c r="D43" s="90" t="str">
        <f>IF(LOOKUP(M43,PPTO!$J$8:$J$269,PPTO!E$8:E$269)=0," ",LOOKUP(M43,PPTO!$J$8:$J$269,PPTO!E$8:E$269))</f>
        <v xml:space="preserve"> </v>
      </c>
      <c r="E43" s="90" t="str">
        <f>IF(LOOKUP(M43,PPTO!$J$8:$J$269,PPTO!F$8:F$269)=0," ",LOOKUP(M43,PPTO!$J$8:$J$269,PPTO!F$8:F$269))</f>
        <v xml:space="preserve"> </v>
      </c>
      <c r="F43" s="90" t="str">
        <f>IF(LOOKUP(M43,PPTO!$J$8:$J$269,PPTO!H$8:H$269)=0," ",LOOKUP(M43,PPTO!$J$8:$J$269,PPTO!H$8:H$269))</f>
        <v xml:space="preserve"> </v>
      </c>
      <c r="G43" s="178">
        <v>293.73</v>
      </c>
      <c r="H43" s="102" t="e">
        <f t="shared" si="1"/>
        <v>#VALUE!</v>
      </c>
      <c r="I43" s="174">
        <v>0</v>
      </c>
      <c r="J43" s="102" t="e">
        <f t="shared" si="2"/>
        <v>#VALUE!</v>
      </c>
      <c r="K43" s="102" t="e">
        <f>I43+'ACTA PARCIAL No.9'!K43</f>
        <v>#REF!</v>
      </c>
      <c r="L43" s="102" t="e">
        <f t="shared" si="3"/>
        <v>#REF!</v>
      </c>
      <c r="M43" s="108">
        <f t="shared" si="0"/>
        <v>27</v>
      </c>
    </row>
    <row r="44" spans="1:13">
      <c r="A44" s="87" t="str">
        <f>IF(LOOKUP(M44,PPTO!$J$8:$J$269,PPTO!A$8:A$269)=0," ",LOOKUP(M44,PPTO!$J$8:$J$269,PPTO!A$8:A$269))</f>
        <v>4.05</v>
      </c>
      <c r="B44" s="91" t="str">
        <f>IF(LOOKUP(M44,PPTO!$J$8:J$269,PPTO!B$8:B$269)=0," ",LOOKUP(M44,PPTO!$J$8:J$269,PPTO!B$8:B$269))</f>
        <v xml:space="preserve"> </v>
      </c>
      <c r="C44" s="89" t="str">
        <f>IF(LOOKUP(M44,PPTO!$J$8:$J$269,PPTO!D$8:D$269)=0," ",LOOKUP(M44,PPTO!$J$8:$J$269,PPTO!D$8:D$269))</f>
        <v>ML</v>
      </c>
      <c r="D44" s="90" t="str">
        <f>IF(LOOKUP(M44,PPTO!$J$8:$J$269,PPTO!E$8:E$269)=0," ",LOOKUP(M44,PPTO!$J$8:$J$269,PPTO!E$8:E$269))</f>
        <v xml:space="preserve"> </v>
      </c>
      <c r="E44" s="90" t="str">
        <f>IF(LOOKUP(M44,PPTO!$J$8:$J$269,PPTO!F$8:F$269)=0," ",LOOKUP(M44,PPTO!$J$8:$J$269,PPTO!F$8:F$269))</f>
        <v xml:space="preserve"> </v>
      </c>
      <c r="F44" s="90" t="str">
        <f>IF(LOOKUP(M44,PPTO!$J$8:$J$269,PPTO!H$8:H$269)=0," ",LOOKUP(M44,PPTO!$J$8:$J$269,PPTO!H$8:H$269))</f>
        <v xml:space="preserve"> </v>
      </c>
      <c r="G44" s="178">
        <v>912.33</v>
      </c>
      <c r="H44" s="102" t="e">
        <f t="shared" si="1"/>
        <v>#VALUE!</v>
      </c>
      <c r="I44" s="174">
        <v>0</v>
      </c>
      <c r="J44" s="102" t="e">
        <f t="shared" si="2"/>
        <v>#VALUE!</v>
      </c>
      <c r="K44" s="102" t="e">
        <f>I44+'ACTA PARCIAL No.9'!K44</f>
        <v>#REF!</v>
      </c>
      <c r="L44" s="102" t="e">
        <f t="shared" si="3"/>
        <v>#REF!</v>
      </c>
      <c r="M44" s="108">
        <f t="shared" si="0"/>
        <v>28</v>
      </c>
    </row>
    <row r="45" spans="1:13">
      <c r="A45" s="87" t="str">
        <f>IF(LOOKUP(M45,PPTO!$J$8:$J$269,PPTO!A$8:A$269)=0," ",LOOKUP(M45,PPTO!$J$8:$J$269,PPTO!A$8:A$269))</f>
        <v>4.06</v>
      </c>
      <c r="B45" s="91" t="str">
        <f>IF(LOOKUP(M45,PPTO!$J$8:J$269,PPTO!B$8:B$269)=0," ",LOOKUP(M45,PPTO!$J$8:J$269,PPTO!B$8:B$269))</f>
        <v xml:space="preserve"> </v>
      </c>
      <c r="C45" s="89" t="str">
        <f>IF(LOOKUP(M45,PPTO!$J$8:$J$269,PPTO!D$8:D$269)=0," ",LOOKUP(M45,PPTO!$J$8:$J$269,PPTO!D$8:D$269))</f>
        <v>UND</v>
      </c>
      <c r="D45" s="90" t="str">
        <f>IF(LOOKUP(M45,PPTO!$J$8:$J$269,PPTO!E$8:E$269)=0," ",LOOKUP(M45,PPTO!$J$8:$J$269,PPTO!E$8:E$269))</f>
        <v xml:space="preserve"> </v>
      </c>
      <c r="E45" s="90" t="str">
        <f>IF(LOOKUP(M45,PPTO!$J$8:$J$269,PPTO!F$8:F$269)=0," ",LOOKUP(M45,PPTO!$J$8:$J$269,PPTO!F$8:F$269))</f>
        <v xml:space="preserve"> </v>
      </c>
      <c r="F45" s="90" t="str">
        <f>IF(LOOKUP(M45,PPTO!$J$8:$J$269,PPTO!H$8:H$269)=0," ",LOOKUP(M45,PPTO!$J$8:$J$269,PPTO!H$8:H$269))</f>
        <v xml:space="preserve"> </v>
      </c>
      <c r="G45" s="178">
        <v>1259</v>
      </c>
      <c r="H45" s="102" t="e">
        <f t="shared" si="1"/>
        <v>#VALUE!</v>
      </c>
      <c r="I45" s="174">
        <v>0</v>
      </c>
      <c r="J45" s="102" t="e">
        <f t="shared" si="2"/>
        <v>#VALUE!</v>
      </c>
      <c r="K45" s="102" t="e">
        <f>I45+'ACTA PARCIAL No.9'!K45</f>
        <v>#REF!</v>
      </c>
      <c r="L45" s="102" t="e">
        <f t="shared" si="3"/>
        <v>#REF!</v>
      </c>
      <c r="M45" s="108">
        <f t="shared" si="0"/>
        <v>29</v>
      </c>
    </row>
    <row r="46" spans="1:13">
      <c r="A46" s="87" t="str">
        <f>IF(LOOKUP(M46,PPTO!$J$8:$J$269,PPTO!A$8:A$269)=0," ",LOOKUP(M46,PPTO!$J$8:$J$269,PPTO!A$8:A$269))</f>
        <v>4.09</v>
      </c>
      <c r="B46" s="91" t="str">
        <f>IF(LOOKUP(M46,PPTO!$J$8:J$269,PPTO!B$8:B$269)=0," ",LOOKUP(M46,PPTO!$J$8:J$269,PPTO!B$8:B$269))</f>
        <v xml:space="preserve"> </v>
      </c>
      <c r="C46" s="89" t="str">
        <f>IF(LOOKUP(M46,PPTO!$J$8:$J$269,PPTO!D$8:D$269)=0," ",LOOKUP(M46,PPTO!$J$8:$J$269,PPTO!D$8:D$269))</f>
        <v>M3</v>
      </c>
      <c r="D46" s="90" t="str">
        <f>IF(LOOKUP(M46,PPTO!$J$8:$J$269,PPTO!E$8:E$269)=0," ",LOOKUP(M46,PPTO!$J$8:$J$269,PPTO!E$8:E$269))</f>
        <v xml:space="preserve"> </v>
      </c>
      <c r="E46" s="90" t="str">
        <f>IF(LOOKUP(M46,PPTO!$J$8:$J$269,PPTO!F$8:F$269)=0," ",LOOKUP(M46,PPTO!$J$8:$J$269,PPTO!F$8:F$269))</f>
        <v xml:space="preserve"> </v>
      </c>
      <c r="F46" s="90" t="str">
        <f>IF(LOOKUP(M46,PPTO!$J$8:$J$269,PPTO!H$8:H$269)=0," ",LOOKUP(M46,PPTO!$J$8:$J$269,PPTO!H$8:H$269))</f>
        <v xml:space="preserve"> </v>
      </c>
      <c r="G46" s="178">
        <v>453.24</v>
      </c>
      <c r="H46" s="102" t="e">
        <f t="shared" si="1"/>
        <v>#VALUE!</v>
      </c>
      <c r="I46" s="174">
        <v>0</v>
      </c>
      <c r="J46" s="102" t="e">
        <f t="shared" si="2"/>
        <v>#VALUE!</v>
      </c>
      <c r="K46" s="102" t="e">
        <f>I46+'ACTA PARCIAL No.9'!K46</f>
        <v>#REF!</v>
      </c>
      <c r="L46" s="102" t="e">
        <f t="shared" si="3"/>
        <v>#REF!</v>
      </c>
      <c r="M46" s="108">
        <f t="shared" si="0"/>
        <v>30</v>
      </c>
    </row>
    <row r="47" spans="1:13">
      <c r="A47" s="87" t="str">
        <f>IF(LOOKUP(M47,PPTO!$J$8:$J$269,PPTO!A$8:A$269)=0," ",LOOKUP(M47,PPTO!$J$8:$J$269,PPTO!A$8:A$269))</f>
        <v>4.10</v>
      </c>
      <c r="B47" s="91" t="str">
        <f>IF(LOOKUP(M47,PPTO!$J$8:J$269,PPTO!B$8:B$269)=0," ",LOOKUP(M47,PPTO!$J$8:J$269,PPTO!B$8:B$269))</f>
        <v xml:space="preserve"> </v>
      </c>
      <c r="C47" s="89" t="str">
        <f>IF(LOOKUP(M47,PPTO!$J$8:$J$269,PPTO!D$8:D$269)=0," ",LOOKUP(M47,PPTO!$J$8:$J$269,PPTO!D$8:D$269))</f>
        <v>M3</v>
      </c>
      <c r="D47" s="90" t="str">
        <f>IF(LOOKUP(M47,PPTO!$J$8:$J$269,PPTO!E$8:E$269)=0," ",LOOKUP(M47,PPTO!$J$8:$J$269,PPTO!E$8:E$269))</f>
        <v xml:space="preserve"> </v>
      </c>
      <c r="E47" s="90" t="str">
        <f>IF(LOOKUP(M47,PPTO!$J$8:$J$269,PPTO!F$8:F$269)=0," ",LOOKUP(M47,PPTO!$J$8:$J$269,PPTO!F$8:F$269))</f>
        <v xml:space="preserve"> </v>
      </c>
      <c r="F47" s="90" t="str">
        <f>IF(LOOKUP(M47,PPTO!$J$8:$J$269,PPTO!H$8:H$269)=0," ",LOOKUP(M47,PPTO!$J$8:$J$269,PPTO!H$8:H$269))</f>
        <v xml:space="preserve"> </v>
      </c>
      <c r="G47" s="178">
        <v>2381.3200000000002</v>
      </c>
      <c r="H47" s="102" t="e">
        <f t="shared" si="1"/>
        <v>#VALUE!</v>
      </c>
      <c r="I47" s="174">
        <v>0.01</v>
      </c>
      <c r="J47" s="102" t="e">
        <f t="shared" si="2"/>
        <v>#VALUE!</v>
      </c>
      <c r="K47" s="102" t="e">
        <f>I47+'ACTA PARCIAL No.9'!K47</f>
        <v>#REF!</v>
      </c>
      <c r="L47" s="102" t="e">
        <f t="shared" si="3"/>
        <v>#REF!</v>
      </c>
      <c r="M47" s="108">
        <f t="shared" si="0"/>
        <v>31</v>
      </c>
    </row>
    <row r="48" spans="1:13">
      <c r="A48" s="87">
        <f>IF(LOOKUP(M48,PPTO!$J$8:$J$269,PPTO!A$8:A$269)=0," ",LOOKUP(M48,PPTO!$J$8:$J$269,PPTO!A$8:A$269))</f>
        <v>5</v>
      </c>
      <c r="B48" s="91" t="str">
        <f>IF(LOOKUP(M48,PPTO!$J$8:J$269,PPTO!B$8:B$269)=0," ",LOOKUP(M48,PPTO!$J$8:J$269,PPTO!B$8:B$269))</f>
        <v>ESTRUCTURAS SANITARIAS EN CONCRETO</v>
      </c>
      <c r="C48" s="89" t="str">
        <f>IF(LOOKUP(M48,PPTO!$J$8:$J$269,PPTO!D$8:D$269)=0," ",LOOKUP(M48,PPTO!$J$8:$J$269,PPTO!D$8:D$269))</f>
        <v xml:space="preserve"> </v>
      </c>
      <c r="D48" s="90" t="str">
        <f>IF(LOOKUP(M48,PPTO!$J$8:$J$269,PPTO!E$8:E$269)=0," ",LOOKUP(M48,PPTO!$J$8:$J$269,PPTO!E$8:E$269))</f>
        <v xml:space="preserve"> </v>
      </c>
      <c r="E48" s="90" t="str">
        <f>IF(LOOKUP(M48,PPTO!$J$8:$J$269,PPTO!F$8:F$269)=0," ",LOOKUP(M48,PPTO!$J$8:$J$269,PPTO!F$8:F$269))</f>
        <v xml:space="preserve"> </v>
      </c>
      <c r="F48" s="90" t="str">
        <f>IF(LOOKUP(M48,PPTO!$J$8:$J$269,PPTO!H$8:H$269)=0," ",LOOKUP(M48,PPTO!$J$8:$J$269,PPTO!H$8:H$269))</f>
        <v xml:space="preserve"> </v>
      </c>
      <c r="G48" s="178"/>
      <c r="H48" s="102"/>
      <c r="I48" s="174"/>
      <c r="J48" s="102"/>
      <c r="K48" s="102"/>
      <c r="L48" s="102"/>
      <c r="M48" s="108">
        <f t="shared" si="0"/>
        <v>32</v>
      </c>
    </row>
    <row r="49" spans="1:13">
      <c r="A49" s="87" t="str">
        <f>IF(LOOKUP(M49,PPTO!$J$8:$J$269,PPTO!A$8:A$269)=0," ",LOOKUP(M49,PPTO!$J$8:$J$269,PPTO!A$8:A$269))</f>
        <v>5.01</v>
      </c>
      <c r="B49" s="91" t="str">
        <f>IF(LOOKUP(M49,PPTO!$J$8:J$269,PPTO!B$8:B$269)=0," ",LOOKUP(M49,PPTO!$J$8:J$269,PPTO!B$8:B$269))</f>
        <v xml:space="preserve"> </v>
      </c>
      <c r="C49" s="89" t="str">
        <f>IF(LOOKUP(M49,PPTO!$J$8:$J$269,PPTO!D$8:D$269)=0," ",LOOKUP(M49,PPTO!$J$8:$J$269,PPTO!D$8:D$269))</f>
        <v>M3</v>
      </c>
      <c r="D49" s="90" t="str">
        <f>IF(LOOKUP(M49,PPTO!$J$8:$J$269,PPTO!E$8:E$269)=0," ",LOOKUP(M49,PPTO!$J$8:$J$269,PPTO!E$8:E$269))</f>
        <v xml:space="preserve"> </v>
      </c>
      <c r="E49" s="90" t="str">
        <f>IF(LOOKUP(M49,PPTO!$J$8:$J$269,PPTO!F$8:F$269)=0," ",LOOKUP(M49,PPTO!$J$8:$J$269,PPTO!F$8:F$269))</f>
        <v xml:space="preserve"> </v>
      </c>
      <c r="F49" s="90" t="str">
        <f>IF(LOOKUP(M49,PPTO!$J$8:$J$269,PPTO!H$8:H$269)=0," ",LOOKUP(M49,PPTO!$J$8:$J$269,PPTO!H$8:H$269))</f>
        <v xml:space="preserve"> </v>
      </c>
      <c r="G49" s="178">
        <v>293.73</v>
      </c>
      <c r="H49" s="102" t="e">
        <f t="shared" si="1"/>
        <v>#VALUE!</v>
      </c>
      <c r="I49" s="174">
        <v>0</v>
      </c>
      <c r="J49" s="102" t="e">
        <f t="shared" si="2"/>
        <v>#VALUE!</v>
      </c>
      <c r="K49" s="102" t="e">
        <f>I49+'ACTA PARCIAL No.9'!K49</f>
        <v>#REF!</v>
      </c>
      <c r="L49" s="102" t="e">
        <f t="shared" si="3"/>
        <v>#REF!</v>
      </c>
      <c r="M49" s="108">
        <f t="shared" si="0"/>
        <v>33</v>
      </c>
    </row>
    <row r="50" spans="1:13">
      <c r="A50" s="87" t="str">
        <f>IF(LOOKUP(M50,PPTO!$J$8:$J$269,PPTO!A$8:A$269)=0," ",LOOKUP(M50,PPTO!$J$8:$J$269,PPTO!A$8:A$269))</f>
        <v>5.02</v>
      </c>
      <c r="B50" s="91" t="str">
        <f>IF(LOOKUP(M50,PPTO!$J$8:J$269,PPTO!B$8:B$269)=0," ",LOOKUP(M50,PPTO!$J$8:J$269,PPTO!B$8:B$269))</f>
        <v xml:space="preserve"> </v>
      </c>
      <c r="C50" s="89" t="str">
        <f>IF(LOOKUP(M50,PPTO!$J$8:$J$269,PPTO!D$8:D$269)=0," ",LOOKUP(M50,PPTO!$J$8:$J$269,PPTO!D$8:D$269))</f>
        <v>UND</v>
      </c>
      <c r="D50" s="90" t="str">
        <f>IF(LOOKUP(M50,PPTO!$J$8:$J$269,PPTO!E$8:E$269)=0," ",LOOKUP(M50,PPTO!$J$8:$J$269,PPTO!E$8:E$269))</f>
        <v xml:space="preserve"> </v>
      </c>
      <c r="E50" s="90" t="str">
        <f>IF(LOOKUP(M50,PPTO!$J$8:$J$269,PPTO!F$8:F$269)=0," ",LOOKUP(M50,PPTO!$J$8:$J$269,PPTO!F$8:F$269))</f>
        <v xml:space="preserve"> </v>
      </c>
      <c r="F50" s="90" t="str">
        <f>IF(LOOKUP(M50,PPTO!$J$8:$J$269,PPTO!H$8:H$269)=0," ",LOOKUP(M50,PPTO!$J$8:$J$269,PPTO!H$8:H$269))</f>
        <v xml:space="preserve"> </v>
      </c>
      <c r="G50" s="178">
        <v>912.33</v>
      </c>
      <c r="H50" s="102" t="e">
        <f t="shared" si="1"/>
        <v>#VALUE!</v>
      </c>
      <c r="I50" s="174">
        <v>0</v>
      </c>
      <c r="J50" s="102" t="e">
        <f t="shared" si="2"/>
        <v>#VALUE!</v>
      </c>
      <c r="K50" s="102" t="e">
        <f>I50+'ACTA PARCIAL No.9'!K50</f>
        <v>#REF!</v>
      </c>
      <c r="L50" s="102" t="e">
        <f t="shared" si="3"/>
        <v>#REF!</v>
      </c>
      <c r="M50" s="108">
        <f t="shared" si="0"/>
        <v>34</v>
      </c>
    </row>
    <row r="51" spans="1:13">
      <c r="A51" s="87" t="str">
        <f>IF(LOOKUP(M51,PPTO!$J$8:$J$269,PPTO!A$8:A$269)=0," ",LOOKUP(M51,PPTO!$J$8:$J$269,PPTO!A$8:A$269))</f>
        <v>5.03</v>
      </c>
      <c r="B51" s="91" t="str">
        <f>IF(LOOKUP(M51,PPTO!$J$8:J$269,PPTO!B$8:B$269)=0," ",LOOKUP(M51,PPTO!$J$8:J$269,PPTO!B$8:B$269))</f>
        <v xml:space="preserve"> </v>
      </c>
      <c r="C51" s="89" t="str">
        <f>IF(LOOKUP(M51,PPTO!$J$8:$J$269,PPTO!D$8:D$269)=0," ",LOOKUP(M51,PPTO!$J$8:$J$269,PPTO!D$8:D$269))</f>
        <v>UND</v>
      </c>
      <c r="D51" s="90" t="str">
        <f>IF(LOOKUP(M51,PPTO!$J$8:$J$269,PPTO!E$8:E$269)=0," ",LOOKUP(M51,PPTO!$J$8:$J$269,PPTO!E$8:E$269))</f>
        <v xml:space="preserve"> </v>
      </c>
      <c r="E51" s="90" t="str">
        <f>IF(LOOKUP(M51,PPTO!$J$8:$J$269,PPTO!F$8:F$269)=0," ",LOOKUP(M51,PPTO!$J$8:$J$269,PPTO!F$8:F$269))</f>
        <v xml:space="preserve"> </v>
      </c>
      <c r="F51" s="90" t="str">
        <f>IF(LOOKUP(M51,PPTO!$J$8:$J$269,PPTO!H$8:H$269)=0," ",LOOKUP(M51,PPTO!$J$8:$J$269,PPTO!H$8:H$269))</f>
        <v xml:space="preserve"> </v>
      </c>
      <c r="G51" s="178">
        <v>1259</v>
      </c>
      <c r="H51" s="102" t="e">
        <f t="shared" si="1"/>
        <v>#VALUE!</v>
      </c>
      <c r="I51" s="174">
        <v>0</v>
      </c>
      <c r="J51" s="102" t="e">
        <f t="shared" si="2"/>
        <v>#VALUE!</v>
      </c>
      <c r="K51" s="102" t="e">
        <f>I51+'ACTA PARCIAL No.9'!K51</f>
        <v>#REF!</v>
      </c>
      <c r="L51" s="102" t="e">
        <f t="shared" si="3"/>
        <v>#REF!</v>
      </c>
      <c r="M51" s="108">
        <f t="shared" si="0"/>
        <v>35</v>
      </c>
    </row>
    <row r="52" spans="1:13">
      <c r="A52" s="87" t="str">
        <f>IF(LOOKUP(M52,PPTO!$J$8:$J$269,PPTO!A$8:A$269)=0," ",LOOKUP(M52,PPTO!$J$8:$J$269,PPTO!A$8:A$269))</f>
        <v>5.04</v>
      </c>
      <c r="B52" s="91" t="str">
        <f>IF(LOOKUP(M52,PPTO!$J$8:J$269,PPTO!B$8:B$269)=0," ",LOOKUP(M52,PPTO!$J$8:J$269,PPTO!B$8:B$269))</f>
        <v xml:space="preserve"> </v>
      </c>
      <c r="C52" s="89" t="str">
        <f>IF(LOOKUP(M52,PPTO!$J$8:$J$269,PPTO!D$8:D$269)=0," ",LOOKUP(M52,PPTO!$J$8:$J$269,PPTO!D$8:D$269))</f>
        <v>UND</v>
      </c>
      <c r="D52" s="90" t="str">
        <f>IF(LOOKUP(M52,PPTO!$J$8:$J$269,PPTO!E$8:E$269)=0," ",LOOKUP(M52,PPTO!$J$8:$J$269,PPTO!E$8:E$269))</f>
        <v xml:space="preserve"> </v>
      </c>
      <c r="E52" s="90" t="str">
        <f>IF(LOOKUP(M52,PPTO!$J$8:$J$269,PPTO!F$8:F$269)=0," ",LOOKUP(M52,PPTO!$J$8:$J$269,PPTO!F$8:F$269))</f>
        <v xml:space="preserve"> </v>
      </c>
      <c r="F52" s="90" t="str">
        <f>IF(LOOKUP(M52,PPTO!$J$8:$J$269,PPTO!H$8:H$269)=0," ",LOOKUP(M52,PPTO!$J$8:$J$269,PPTO!H$8:H$269))</f>
        <v xml:space="preserve"> </v>
      </c>
      <c r="G52" s="178">
        <v>140</v>
      </c>
      <c r="H52" s="102" t="e">
        <f t="shared" si="1"/>
        <v>#VALUE!</v>
      </c>
      <c r="I52" s="174">
        <v>0</v>
      </c>
      <c r="J52" s="102" t="e">
        <f t="shared" si="2"/>
        <v>#VALUE!</v>
      </c>
      <c r="K52" s="102" t="e">
        <f>I52+'ACTA PARCIAL No.9'!K52</f>
        <v>#REF!</v>
      </c>
      <c r="L52" s="102" t="e">
        <f t="shared" si="3"/>
        <v>#REF!</v>
      </c>
      <c r="M52" s="108">
        <f t="shared" si="0"/>
        <v>36</v>
      </c>
    </row>
    <row r="53" spans="1:13">
      <c r="A53" s="87" t="str">
        <f>IF(LOOKUP(M53,PPTO!$J$8:$J$269,PPTO!A$8:A$269)=0," ",LOOKUP(M53,PPTO!$J$8:$J$269,PPTO!A$8:A$269))</f>
        <v>5.05</v>
      </c>
      <c r="B53" s="91" t="str">
        <f>IF(LOOKUP(M53,PPTO!$J$8:J$269,PPTO!B$8:B$269)=0," ",LOOKUP(M53,PPTO!$J$8:J$269,PPTO!B$8:B$269))</f>
        <v xml:space="preserve"> </v>
      </c>
      <c r="C53" s="89" t="str">
        <f>IF(LOOKUP(M53,PPTO!$J$8:$J$269,PPTO!D$8:D$269)=0," ",LOOKUP(M53,PPTO!$J$8:$J$269,PPTO!D$8:D$269))</f>
        <v>UND</v>
      </c>
      <c r="D53" s="90" t="str">
        <f>IF(LOOKUP(M53,PPTO!$J$8:$J$269,PPTO!E$8:E$269)=0," ",LOOKUP(M53,PPTO!$J$8:$J$269,PPTO!E$8:E$269))</f>
        <v xml:space="preserve"> </v>
      </c>
      <c r="E53" s="90" t="str">
        <f>IF(LOOKUP(M53,PPTO!$J$8:$J$269,PPTO!F$8:F$269)=0," ",LOOKUP(M53,PPTO!$J$8:$J$269,PPTO!F$8:F$269))</f>
        <v xml:space="preserve"> </v>
      </c>
      <c r="F53" s="90" t="str">
        <f>IF(LOOKUP(M53,PPTO!$J$8:$J$269,PPTO!H$8:H$269)=0," ",LOOKUP(M53,PPTO!$J$8:$J$269,PPTO!H$8:H$269))</f>
        <v xml:space="preserve"> </v>
      </c>
      <c r="G53" s="178">
        <v>84</v>
      </c>
      <c r="H53" s="102" t="e">
        <f t="shared" si="1"/>
        <v>#VALUE!</v>
      </c>
      <c r="I53" s="174">
        <v>0</v>
      </c>
      <c r="J53" s="102" t="e">
        <f t="shared" si="2"/>
        <v>#VALUE!</v>
      </c>
      <c r="K53" s="102" t="e">
        <f>I53+'ACTA PARCIAL No.9'!K53</f>
        <v>#REF!</v>
      </c>
      <c r="L53" s="102" t="e">
        <f t="shared" si="3"/>
        <v>#REF!</v>
      </c>
      <c r="M53" s="108">
        <f t="shared" si="0"/>
        <v>37</v>
      </c>
    </row>
    <row r="54" spans="1:13">
      <c r="A54" s="87" t="str">
        <f>IF(LOOKUP(M54,PPTO!$J$8:$J$269,PPTO!A$8:A$269)=0," ",LOOKUP(M54,PPTO!$J$8:$J$269,PPTO!A$8:A$269))</f>
        <v>5.06</v>
      </c>
      <c r="B54" s="91" t="str">
        <f>IF(LOOKUP(M54,PPTO!$J$8:J$269,PPTO!B$8:B$269)=0," ",LOOKUP(M54,PPTO!$J$8:J$269,PPTO!B$8:B$269))</f>
        <v xml:space="preserve"> </v>
      </c>
      <c r="C54" s="89" t="str">
        <f>IF(LOOKUP(M54,PPTO!$J$8:$J$269,PPTO!D$8:D$269)=0," ",LOOKUP(M54,PPTO!$J$8:$J$269,PPTO!D$8:D$269))</f>
        <v>UND</v>
      </c>
      <c r="D54" s="90" t="str">
        <f>IF(LOOKUP(M54,PPTO!$J$8:$J$269,PPTO!E$8:E$269)=0," ",LOOKUP(M54,PPTO!$J$8:$J$269,PPTO!E$8:E$269))</f>
        <v xml:space="preserve"> </v>
      </c>
      <c r="E54" s="90" t="str">
        <f>IF(LOOKUP(M54,PPTO!$J$8:$J$269,PPTO!F$8:F$269)=0," ",LOOKUP(M54,PPTO!$J$8:$J$269,PPTO!F$8:F$269))</f>
        <v xml:space="preserve"> </v>
      </c>
      <c r="F54" s="90" t="str">
        <f>IF(LOOKUP(M54,PPTO!$J$8:$J$269,PPTO!H$8:H$269)=0," ",LOOKUP(M54,PPTO!$J$8:$J$269,PPTO!H$8:H$269))</f>
        <v xml:space="preserve"> </v>
      </c>
      <c r="G54" s="178">
        <v>19</v>
      </c>
      <c r="H54" s="102" t="e">
        <f t="shared" si="1"/>
        <v>#VALUE!</v>
      </c>
      <c r="I54" s="174">
        <v>0</v>
      </c>
      <c r="J54" s="102" t="e">
        <f t="shared" si="2"/>
        <v>#VALUE!</v>
      </c>
      <c r="K54" s="102" t="e">
        <f>I54+'ACTA PARCIAL No.9'!K54</f>
        <v>#REF!</v>
      </c>
      <c r="L54" s="102" t="e">
        <f t="shared" si="3"/>
        <v>#REF!</v>
      </c>
      <c r="M54" s="108">
        <f t="shared" si="0"/>
        <v>38</v>
      </c>
    </row>
    <row r="55" spans="1:13">
      <c r="A55" s="87">
        <f>IF(LOOKUP(M55,PPTO!$J$8:$J$269,PPTO!A$8:A$269)=0," ",LOOKUP(M55,PPTO!$J$8:$J$269,PPTO!A$8:A$269))</f>
        <v>6</v>
      </c>
      <c r="B55" s="91" t="str">
        <f>IF(LOOKUP(M55,PPTO!$J$8:J$269,PPTO!B$8:B$269)=0," ",LOOKUP(M55,PPTO!$J$8:J$269,PPTO!B$8:B$269))</f>
        <v>CONSTRUCCION DE PAVIMENTOS</v>
      </c>
      <c r="C55" s="89" t="str">
        <f>IF(LOOKUP(M55,PPTO!$J$8:$J$269,PPTO!D$8:D$269)=0," ",LOOKUP(M55,PPTO!$J$8:$J$269,PPTO!D$8:D$269))</f>
        <v xml:space="preserve"> </v>
      </c>
      <c r="D55" s="90" t="str">
        <f>IF(LOOKUP(M55,PPTO!$J$8:$J$269,PPTO!E$8:E$269)=0," ",LOOKUP(M55,PPTO!$J$8:$J$269,PPTO!E$8:E$269))</f>
        <v xml:space="preserve"> </v>
      </c>
      <c r="E55" s="90" t="str">
        <f>IF(LOOKUP(M55,PPTO!$J$8:$J$269,PPTO!F$8:F$269)=0," ",LOOKUP(M55,PPTO!$J$8:$J$269,PPTO!F$8:F$269))</f>
        <v xml:space="preserve"> </v>
      </c>
      <c r="F55" s="90" t="str">
        <f>IF(LOOKUP(M55,PPTO!$J$8:$J$269,PPTO!H$8:H$269)=0," ",LOOKUP(M55,PPTO!$J$8:$J$269,PPTO!H$8:H$269))</f>
        <v xml:space="preserve"> </v>
      </c>
      <c r="G55" s="178"/>
      <c r="H55" s="102"/>
      <c r="I55" s="174"/>
      <c r="J55" s="102"/>
      <c r="K55" s="102"/>
      <c r="L55" s="102"/>
      <c r="M55" s="108">
        <f t="shared" si="0"/>
        <v>39</v>
      </c>
    </row>
    <row r="56" spans="1:13">
      <c r="A56" s="87" t="str">
        <f>IF(LOOKUP(M56,PPTO!$J$8:$J$269,PPTO!A$8:A$269)=0," ",LOOKUP(M56,PPTO!$J$8:$J$269,PPTO!A$8:A$269))</f>
        <v>6.01</v>
      </c>
      <c r="B56" s="91" t="str">
        <f>IF(LOOKUP(M56,PPTO!$J$8:J$269,PPTO!B$8:B$269)=0," ",LOOKUP(M56,PPTO!$J$8:J$269,PPTO!B$8:B$269))</f>
        <v xml:space="preserve"> </v>
      </c>
      <c r="C56" s="89" t="str">
        <f>IF(LOOKUP(M56,PPTO!$J$8:$J$269,PPTO!D$8:D$269)=0," ",LOOKUP(M56,PPTO!$J$8:$J$269,PPTO!D$8:D$269))</f>
        <v>M2</v>
      </c>
      <c r="D56" s="90" t="str">
        <f>IF(LOOKUP(M56,PPTO!$J$8:$J$269,PPTO!E$8:E$269)=0," ",LOOKUP(M56,PPTO!$J$8:$J$269,PPTO!E$8:E$269))</f>
        <v xml:space="preserve"> </v>
      </c>
      <c r="E56" s="90" t="str">
        <f>IF(LOOKUP(M56,PPTO!$J$8:$J$269,PPTO!F$8:F$269)=0," ",LOOKUP(M56,PPTO!$J$8:$J$269,PPTO!F$8:F$269))</f>
        <v xml:space="preserve"> </v>
      </c>
      <c r="F56" s="90" t="str">
        <f>IF(LOOKUP(M56,PPTO!$J$8:$J$269,PPTO!H$8:H$269)=0," ",LOOKUP(M56,PPTO!$J$8:$J$269,PPTO!H$8:H$269))</f>
        <v xml:space="preserve"> </v>
      </c>
      <c r="G56" s="178">
        <v>4134</v>
      </c>
      <c r="H56" s="102" t="e">
        <f t="shared" si="1"/>
        <v>#VALUE!</v>
      </c>
      <c r="I56" s="174">
        <v>134</v>
      </c>
      <c r="J56" s="102" t="e">
        <f t="shared" si="2"/>
        <v>#VALUE!</v>
      </c>
      <c r="K56" s="102" t="e">
        <f>I56+'ACTA PARCIAL No.9'!K56</f>
        <v>#REF!</v>
      </c>
      <c r="L56" s="102" t="e">
        <f t="shared" si="3"/>
        <v>#REF!</v>
      </c>
      <c r="M56" s="108">
        <f t="shared" si="0"/>
        <v>40</v>
      </c>
    </row>
    <row r="57" spans="1:13">
      <c r="A57" s="87" t="str">
        <f>IF(LOOKUP(M57,PPTO!$J$8:$J$269,PPTO!A$8:A$269)=0," ",LOOKUP(M57,PPTO!$J$8:$J$269,PPTO!A$8:A$269))</f>
        <v>6.02</v>
      </c>
      <c r="B57" s="91" t="str">
        <f>IF(LOOKUP(M57,PPTO!$J$8:J$269,PPTO!B$8:B$269)=0," ",LOOKUP(M57,PPTO!$J$8:J$269,PPTO!B$8:B$269))</f>
        <v xml:space="preserve"> </v>
      </c>
      <c r="C57" s="89" t="str">
        <f>IF(LOOKUP(M57,PPTO!$J$8:$J$269,PPTO!D$8:D$269)=0," ",LOOKUP(M57,PPTO!$J$8:$J$269,PPTO!D$8:D$269))</f>
        <v>M3</v>
      </c>
      <c r="D57" s="90" t="str">
        <f>IF(LOOKUP(M57,PPTO!$J$8:$J$269,PPTO!E$8:E$269)=0," ",LOOKUP(M57,PPTO!$J$8:$J$269,PPTO!E$8:E$269))</f>
        <v xml:space="preserve"> </v>
      </c>
      <c r="E57" s="90" t="str">
        <f>IF(LOOKUP(M57,PPTO!$J$8:$J$269,PPTO!F$8:F$269)=0," ",LOOKUP(M57,PPTO!$J$8:$J$269,PPTO!F$8:F$269))</f>
        <v xml:space="preserve"> </v>
      </c>
      <c r="F57" s="90" t="str">
        <f>IF(LOOKUP(M57,PPTO!$J$8:$J$269,PPTO!H$8:H$269)=0," ",LOOKUP(M57,PPTO!$J$8:$J$269,PPTO!H$8:H$269))</f>
        <v xml:space="preserve"> </v>
      </c>
      <c r="G57" s="178">
        <v>1243</v>
      </c>
      <c r="H57" s="102" t="e">
        <f t="shared" si="1"/>
        <v>#VALUE!</v>
      </c>
      <c r="I57" s="174">
        <v>231</v>
      </c>
      <c r="J57" s="102" t="e">
        <f t="shared" si="2"/>
        <v>#VALUE!</v>
      </c>
      <c r="K57" s="102" t="e">
        <f>I57+'ACTA PARCIAL No.9'!K57</f>
        <v>#REF!</v>
      </c>
      <c r="L57" s="102" t="e">
        <f t="shared" si="3"/>
        <v>#REF!</v>
      </c>
      <c r="M57" s="108">
        <f t="shared" si="0"/>
        <v>41</v>
      </c>
    </row>
    <row r="58" spans="1:13">
      <c r="A58" s="87" t="str">
        <f>IF(LOOKUP(M58,PPTO!$J$8:$J$269,PPTO!A$8:A$269)=0," ",LOOKUP(M58,PPTO!$J$8:$J$269,PPTO!A$8:A$269))</f>
        <v>6.04</v>
      </c>
      <c r="B58" s="91" t="str">
        <f>IF(LOOKUP(M58,PPTO!$J$8:J$269,PPTO!B$8:B$269)=0," ",LOOKUP(M58,PPTO!$J$8:J$269,PPTO!B$8:B$269))</f>
        <v xml:space="preserve"> </v>
      </c>
      <c r="C58" s="89" t="str">
        <f>IF(LOOKUP(M58,PPTO!$J$8:$J$269,PPTO!D$8:D$269)=0," ",LOOKUP(M58,PPTO!$J$8:$J$269,PPTO!D$8:D$269))</f>
        <v>M2</v>
      </c>
      <c r="D58" s="90" t="str">
        <f>IF(LOOKUP(M58,PPTO!$J$8:$J$269,PPTO!E$8:E$269)=0," ",LOOKUP(M58,PPTO!$J$8:$J$269,PPTO!E$8:E$269))</f>
        <v xml:space="preserve"> </v>
      </c>
      <c r="E58" s="90" t="str">
        <f>IF(LOOKUP(M58,PPTO!$J$8:$J$269,PPTO!F$8:F$269)=0," ",LOOKUP(M58,PPTO!$J$8:$J$269,PPTO!F$8:F$269))</f>
        <v xml:space="preserve"> </v>
      </c>
      <c r="F58" s="90" t="str">
        <f>IF(LOOKUP(M58,PPTO!$J$8:$J$269,PPTO!H$8:H$269)=0," ",LOOKUP(M58,PPTO!$J$8:$J$269,PPTO!H$8:H$269))</f>
        <v xml:space="preserve"> </v>
      </c>
      <c r="G58" s="178">
        <v>1259</v>
      </c>
      <c r="H58" s="102" t="e">
        <f t="shared" si="1"/>
        <v>#VALUE!</v>
      </c>
      <c r="I58" s="174">
        <v>0</v>
      </c>
      <c r="J58" s="102" t="e">
        <f t="shared" si="2"/>
        <v>#VALUE!</v>
      </c>
      <c r="K58" s="102" t="e">
        <f>I58+'ACTA PARCIAL No.9'!K58</f>
        <v>#REF!</v>
      </c>
      <c r="L58" s="102" t="e">
        <f t="shared" si="3"/>
        <v>#REF!</v>
      </c>
      <c r="M58" s="108">
        <f t="shared" si="0"/>
        <v>42</v>
      </c>
    </row>
    <row r="59" spans="1:13">
      <c r="A59" s="87" t="str">
        <f>IF(LOOKUP(M59,PPTO!$J$8:$J$269,PPTO!A$8:A$269)=0," ",LOOKUP(M59,PPTO!$J$8:$J$269,PPTO!A$8:A$269))</f>
        <v>6.05</v>
      </c>
      <c r="B59" s="91" t="str">
        <f>IF(LOOKUP(M59,PPTO!$J$8:J$269,PPTO!B$8:B$269)=0," ",LOOKUP(M59,PPTO!$J$8:J$269,PPTO!B$8:B$269))</f>
        <v xml:space="preserve"> </v>
      </c>
      <c r="C59" s="89" t="str">
        <f>IF(LOOKUP(M59,PPTO!$J$8:$J$269,PPTO!D$8:D$269)=0," ",LOOKUP(M59,PPTO!$J$8:$J$269,PPTO!D$8:D$269))</f>
        <v>ML</v>
      </c>
      <c r="D59" s="90" t="str">
        <f>IF(LOOKUP(M59,PPTO!$J$8:$J$269,PPTO!E$8:E$269)=0," ",LOOKUP(M59,PPTO!$J$8:$J$269,PPTO!E$8:E$269))</f>
        <v xml:space="preserve"> </v>
      </c>
      <c r="E59" s="90" t="str">
        <f>IF(LOOKUP(M59,PPTO!$J$8:$J$269,PPTO!F$8:F$269)=0," ",LOOKUP(M59,PPTO!$J$8:$J$269,PPTO!F$8:F$269))</f>
        <v xml:space="preserve"> </v>
      </c>
      <c r="F59" s="90" t="str">
        <f>IF(LOOKUP(M59,PPTO!$J$8:$J$269,PPTO!H$8:H$269)=0," ",LOOKUP(M59,PPTO!$J$8:$J$269,PPTO!H$8:H$269))</f>
        <v xml:space="preserve"> </v>
      </c>
      <c r="G59" s="178">
        <v>1259</v>
      </c>
      <c r="H59" s="102" t="e">
        <f t="shared" si="1"/>
        <v>#VALUE!</v>
      </c>
      <c r="I59" s="174">
        <v>0</v>
      </c>
      <c r="J59" s="102" t="e">
        <f t="shared" si="2"/>
        <v>#VALUE!</v>
      </c>
      <c r="K59" s="102" t="e">
        <f>I59+'ACTA PARCIAL No.9'!K59</f>
        <v>#REF!</v>
      </c>
      <c r="L59" s="102" t="e">
        <f t="shared" si="3"/>
        <v>#REF!</v>
      </c>
      <c r="M59" s="108">
        <f t="shared" si="0"/>
        <v>43</v>
      </c>
    </row>
    <row r="60" spans="1:13">
      <c r="A60" s="87" t="str">
        <f>IF(LOOKUP(M60,PPTO!$J$8:$J$269,PPTO!A$8:A$269)=0," ",LOOKUP(M60,PPTO!$J$8:$J$269,PPTO!A$8:A$269))</f>
        <v>6.06</v>
      </c>
      <c r="B60" s="91" t="str">
        <f>IF(LOOKUP(M60,PPTO!$J$8:J$269,PPTO!B$8:B$269)=0," ",LOOKUP(M60,PPTO!$J$8:J$269,PPTO!B$8:B$269))</f>
        <v xml:space="preserve"> </v>
      </c>
      <c r="C60" s="89" t="str">
        <f>IF(LOOKUP(M60,PPTO!$J$8:$J$269,PPTO!D$8:D$269)=0," ",LOOKUP(M60,PPTO!$J$8:$J$269,PPTO!D$8:D$269))</f>
        <v>M2</v>
      </c>
      <c r="D60" s="90" t="str">
        <f>IF(LOOKUP(M60,PPTO!$J$8:$J$269,PPTO!E$8:E$269)=0," ",LOOKUP(M60,PPTO!$J$8:$J$269,PPTO!E$8:E$269))</f>
        <v xml:space="preserve"> </v>
      </c>
      <c r="E60" s="90" t="str">
        <f>IF(LOOKUP(M60,PPTO!$J$8:$J$269,PPTO!F$8:F$269)=0," ",LOOKUP(M60,PPTO!$J$8:$J$269,PPTO!F$8:F$269))</f>
        <v xml:space="preserve"> </v>
      </c>
      <c r="F60" s="90" t="str">
        <f>IF(LOOKUP(M60,PPTO!$J$8:$J$269,PPTO!H$8:H$269)=0," ",LOOKUP(M60,PPTO!$J$8:$J$269,PPTO!H$8:H$269))</f>
        <v xml:space="preserve"> </v>
      </c>
      <c r="G60" s="178">
        <v>140</v>
      </c>
      <c r="H60" s="102" t="e">
        <f t="shared" si="1"/>
        <v>#VALUE!</v>
      </c>
      <c r="I60" s="174">
        <v>0</v>
      </c>
      <c r="J60" s="102" t="e">
        <f t="shared" si="2"/>
        <v>#VALUE!</v>
      </c>
      <c r="K60" s="102" t="e">
        <f>I60+'ACTA PARCIAL No.9'!K60</f>
        <v>#REF!</v>
      </c>
      <c r="L60" s="102" t="e">
        <f t="shared" si="3"/>
        <v>#REF!</v>
      </c>
      <c r="M60" s="108">
        <f t="shared" si="0"/>
        <v>44</v>
      </c>
    </row>
    <row r="61" spans="1:13">
      <c r="A61" s="87"/>
      <c r="B61" s="154"/>
      <c r="C61" s="155"/>
      <c r="D61" s="156"/>
      <c r="E61" s="156"/>
      <c r="F61" s="176"/>
      <c r="G61" s="179"/>
      <c r="H61" s="177"/>
      <c r="I61" s="174"/>
      <c r="J61" s="102"/>
      <c r="K61" s="102"/>
      <c r="L61" s="102"/>
      <c r="M61" s="108"/>
    </row>
    <row r="62" spans="1:13">
      <c r="A62" s="87"/>
      <c r="B62" s="275" t="s">
        <v>348</v>
      </c>
      <c r="C62" s="276"/>
      <c r="D62" s="277"/>
      <c r="E62" s="277"/>
      <c r="F62" s="277">
        <v>0</v>
      </c>
      <c r="G62" s="278"/>
      <c r="H62" s="278">
        <v>0</v>
      </c>
      <c r="I62" s="279"/>
      <c r="J62" s="279">
        <v>0</v>
      </c>
      <c r="K62" s="279"/>
      <c r="L62" s="279">
        <v>0</v>
      </c>
      <c r="M62" s="108"/>
    </row>
    <row r="63" spans="1:13" ht="12.75" thickBot="1">
      <c r="A63" s="87"/>
      <c r="B63" s="154"/>
      <c r="C63" s="155"/>
      <c r="D63" s="156"/>
      <c r="E63" s="156"/>
      <c r="F63" s="156"/>
      <c r="G63" s="161"/>
      <c r="H63" s="161"/>
      <c r="I63" s="102"/>
      <c r="J63" s="102"/>
      <c r="K63" s="102"/>
      <c r="L63" s="102"/>
      <c r="M63" s="108"/>
    </row>
    <row r="64" spans="1:13" ht="12.75" thickBot="1">
      <c r="A64" s="87"/>
      <c r="B64" s="280" t="s">
        <v>323</v>
      </c>
      <c r="C64" s="281"/>
      <c r="D64" s="282"/>
      <c r="E64" s="282"/>
      <c r="F64" s="283">
        <f>SUM(F19:F63)</f>
        <v>0</v>
      </c>
      <c r="G64" s="284"/>
      <c r="H64" s="283" t="e">
        <f>SUM(H19:H63)</f>
        <v>#VALUE!</v>
      </c>
      <c r="I64" s="284"/>
      <c r="J64" s="283" t="e">
        <f>SUM(J19:J63)</f>
        <v>#VALUE!</v>
      </c>
      <c r="K64" s="284"/>
      <c r="L64" s="283" t="e">
        <f>SUM(L19:L63)</f>
        <v>#REF!</v>
      </c>
      <c r="M64" s="108"/>
    </row>
    <row r="65" spans="1:13">
      <c r="A65" s="87"/>
      <c r="B65" s="285" t="s">
        <v>174</v>
      </c>
      <c r="C65" s="286" t="s">
        <v>296</v>
      </c>
      <c r="D65" s="287">
        <f>DATOS!E184</f>
        <v>18.5</v>
      </c>
      <c r="E65" s="288"/>
      <c r="F65" s="288">
        <f>ROUND(F$64*$D$65/100,0)</f>
        <v>0</v>
      </c>
      <c r="G65" s="289"/>
      <c r="H65" s="288" t="e">
        <f>ROUND(H$64*$D$65/100,0)</f>
        <v>#VALUE!</v>
      </c>
      <c r="I65" s="289"/>
      <c r="J65" s="288" t="e">
        <f>ROUND(J$64*$D$65/100,0)</f>
        <v>#VALUE!</v>
      </c>
      <c r="K65" s="289"/>
      <c r="L65" s="288" t="e">
        <f>ROUND(L$64*$D$65/100,0)</f>
        <v>#REF!</v>
      </c>
      <c r="M65" s="108"/>
    </row>
    <row r="66" spans="1:13">
      <c r="A66" s="87"/>
      <c r="B66" s="290" t="s">
        <v>166</v>
      </c>
      <c r="C66" s="291" t="s">
        <v>296</v>
      </c>
      <c r="D66" s="292">
        <f>DATOS!E186</f>
        <v>5</v>
      </c>
      <c r="E66" s="293"/>
      <c r="F66" s="288">
        <f>ROUND(F$64*$D$66/100,0)</f>
        <v>0</v>
      </c>
      <c r="G66" s="279"/>
      <c r="H66" s="288" t="e">
        <f>ROUND(H$64*$D$66/100,0)</f>
        <v>#VALUE!</v>
      </c>
      <c r="I66" s="279"/>
      <c r="J66" s="288" t="e">
        <f>ROUND(J$64*$D$66/100,0)</f>
        <v>#VALUE!</v>
      </c>
      <c r="K66" s="279"/>
      <c r="L66" s="288" t="e">
        <f>ROUND(L$64*$D$66/100,0)</f>
        <v>#REF!</v>
      </c>
      <c r="M66" s="108"/>
    </row>
    <row r="67" spans="1:13" ht="12.75" thickBot="1">
      <c r="A67" s="87"/>
      <c r="B67" s="294" t="s">
        <v>167</v>
      </c>
      <c r="C67" s="295" t="s">
        <v>296</v>
      </c>
      <c r="D67" s="292">
        <f>DATOS!E188</f>
        <v>8</v>
      </c>
      <c r="E67" s="293"/>
      <c r="F67" s="288">
        <f>ROUND(F$64*$D$67/100,0)</f>
        <v>0</v>
      </c>
      <c r="G67" s="279"/>
      <c r="H67" s="288" t="e">
        <f>ROUND(H$64*$D$67/100,0)</f>
        <v>#VALUE!</v>
      </c>
      <c r="I67" s="279"/>
      <c r="J67" s="288" t="e">
        <f>ROUND(J$64*$D$67/100,0)</f>
        <v>#VALUE!</v>
      </c>
      <c r="K67" s="279"/>
      <c r="L67" s="288" t="e">
        <f>ROUND(L$64*$D$67/100,0)</f>
        <v>#REF!</v>
      </c>
      <c r="M67" s="108"/>
    </row>
    <row r="68" spans="1:13" ht="12.75" thickBot="1">
      <c r="A68" s="87"/>
      <c r="B68" s="280" t="s">
        <v>324</v>
      </c>
      <c r="C68" s="281"/>
      <c r="D68" s="282"/>
      <c r="E68" s="282"/>
      <c r="F68" s="283">
        <f>SUM(F65:F67)</f>
        <v>0</v>
      </c>
      <c r="G68" s="284"/>
      <c r="H68" s="283" t="e">
        <f>SUM(H65:H67)</f>
        <v>#VALUE!</v>
      </c>
      <c r="I68" s="284"/>
      <c r="J68" s="283" t="e">
        <f>SUM(J65:J67)</f>
        <v>#VALUE!</v>
      </c>
      <c r="K68" s="284"/>
      <c r="L68" s="283" t="e">
        <f>SUM(L65:L67)</f>
        <v>#REF!</v>
      </c>
      <c r="M68" s="108"/>
    </row>
    <row r="69" spans="1:13" ht="19.149999999999999" customHeight="1" thickBot="1">
      <c r="A69" s="87"/>
      <c r="B69" s="1150"/>
      <c r="C69" s="1150"/>
      <c r="D69" s="293"/>
      <c r="E69" s="293"/>
      <c r="F69" s="293"/>
      <c r="G69" s="279"/>
      <c r="H69" s="293"/>
      <c r="I69" s="279"/>
      <c r="J69" s="293"/>
      <c r="K69" s="279"/>
      <c r="L69" s="293"/>
      <c r="M69" s="108"/>
    </row>
    <row r="70" spans="1:13" ht="12.75" thickBot="1">
      <c r="A70" s="87"/>
      <c r="B70" s="280" t="s">
        <v>325</v>
      </c>
      <c r="C70" s="281"/>
      <c r="D70" s="282"/>
      <c r="E70" s="282"/>
      <c r="F70" s="283">
        <f>F64+F68</f>
        <v>0</v>
      </c>
      <c r="G70" s="284"/>
      <c r="H70" s="283" t="e">
        <f>H64+H68</f>
        <v>#VALUE!</v>
      </c>
      <c r="I70" s="284"/>
      <c r="J70" s="283" t="e">
        <f>J64+J68</f>
        <v>#VALUE!</v>
      </c>
      <c r="K70" s="284"/>
      <c r="L70" s="283" t="e">
        <f>L64+L68</f>
        <v>#REF!</v>
      </c>
      <c r="M70" s="108"/>
    </row>
    <row r="71" spans="1:13">
      <c r="A71" s="87" t="str">
        <f>IF(LOOKUP(M71,PPTO!$J$8:$J$269,PPTO!A$8:A$269)=0," ",LOOKUP(M71,PPTO!$J$8:$J$269,PPTO!A$8:A$269))</f>
        <v xml:space="preserve"> </v>
      </c>
      <c r="B71" s="88" t="str">
        <f>IF(LOOKUP(M71,PPTO!$J$8:J$269,PPTO!B$8:B$269)=0," ",LOOKUP(M71,PPTO!$J$8:J$269,PPTO!B$8:B$269))</f>
        <v xml:space="preserve"> </v>
      </c>
      <c r="C71" s="89" t="str">
        <f>IF(LOOKUP(M71,PPTO!$J$8:$J$269,PPTO!D$8:D$269)=0," ",LOOKUP(M71,PPTO!$J$8:$J$269,PPTO!D$8:D$269))</f>
        <v xml:space="preserve"> </v>
      </c>
      <c r="D71" s="90" t="str">
        <f>IF(LOOKUP(M71,PPTO!$J$8:$J$269,PPTO!E$8:E$269)=0," ",LOOKUP(M71,PPTO!$J$8:$J$269,PPTO!E$8:E$269))</f>
        <v xml:space="preserve"> </v>
      </c>
      <c r="E71" s="90" t="str">
        <f>IF(LOOKUP(M71,PPTO!$J$8:$J$269,PPTO!F$8:F$269)=0," ",LOOKUP(M71,PPTO!$J$8:$J$269,PPTO!F$8:F$269))</f>
        <v xml:space="preserve"> </v>
      </c>
      <c r="F71" s="97" t="str">
        <f>IF(LOOKUP(M71,PPTO!$J$8:$J$269,PPTO!H$8:H$269)=0," ",LOOKUP(M71,PPTO!$J$8:$J$269,PPTO!H$8:H$269))</f>
        <v xml:space="preserve"> </v>
      </c>
      <c r="G71" s="102"/>
      <c r="H71" s="102"/>
      <c r="I71" s="102"/>
      <c r="J71" s="102"/>
      <c r="K71" s="102"/>
      <c r="L71" s="102"/>
      <c r="M71" s="108">
        <v>45</v>
      </c>
    </row>
    <row r="72" spans="1:13">
      <c r="A72" s="92">
        <f>IF(LOOKUP(M72,PPTO!$J$8:$J$269,PPTO!A$8:A$269)=0," ",LOOKUP(M72,PPTO!$J$8:$J$269,PPTO!A$8:A$269))</f>
        <v>7</v>
      </c>
      <c r="B72" s="88" t="str">
        <f>IF(LOOKUP(M72,PPTO!$J$8:J$269,PPTO!B$8:B$269)=0," ",LOOKUP(M72,PPTO!$J$8:J$269,PPTO!B$8:B$269))</f>
        <v>SUMINISTRO DE TUBERIA</v>
      </c>
      <c r="C72" s="145" t="str">
        <f>IF(LOOKUP(M72,PPTO!$J$8:$J$269,PPTO!D$8:D$269)=0," ",LOOKUP(M72,PPTO!$J$8:$J$269,PPTO!D$8:D$269))</f>
        <v xml:space="preserve"> </v>
      </c>
      <c r="D72" s="144" t="str">
        <f>IF(LOOKUP(M72,PPTO!$J$8:$J$269,PPTO!E$8:E$269)=0," ",LOOKUP(M72,PPTO!$J$8:$J$269,PPTO!E$8:E$269))</f>
        <v xml:space="preserve"> </v>
      </c>
      <c r="E72" s="90" t="str">
        <f>IF(LOOKUP(M72,PPTO!$J$8:$J$269,PPTO!F$8:F$269)=0," ",LOOKUP(M72,PPTO!$J$8:$J$269,PPTO!F$8:F$269))</f>
        <v xml:space="preserve"> </v>
      </c>
      <c r="F72" s="90" t="str">
        <f>IF(LOOKUP(M72,PPTO!$J$8:$J$269,PPTO!H$8:H$269)=0," ",LOOKUP(M72,PPTO!$J$8:$J$269,PPTO!H$8:H$269))</f>
        <v xml:space="preserve"> </v>
      </c>
      <c r="G72" s="178"/>
      <c r="H72" s="102"/>
      <c r="I72" s="174"/>
      <c r="J72" s="102"/>
      <c r="K72" s="102"/>
      <c r="L72" s="102"/>
      <c r="M72" s="108">
        <f t="shared" ref="M72:M77" si="4">M71+1</f>
        <v>46</v>
      </c>
    </row>
    <row r="73" spans="1:13" ht="24">
      <c r="A73" s="87" t="str">
        <f>IF(LOOKUP(M73,PPTO!$J$8:$J$269,PPTO!A$8:A$269)=0," ",LOOKUP(M73,PPTO!$J$8:$J$269,PPTO!A$8:A$269))</f>
        <v>7.01</v>
      </c>
      <c r="B73" s="91" t="str">
        <f>IF(LOOKUP(M73,PPTO!$J$8:J$269,PPTO!B$8:B$269)=0," ",LOOKUP(M73,PPTO!$J$8:J$269,PPTO!B$8:B$269))</f>
        <v>SUM DE TUBERIA PVC UNION MECANICA PARA ALCANTARILLADOS 6", 160 MM</v>
      </c>
      <c r="C73" s="145" t="str">
        <f>IF(LOOKUP(M73,PPTO!$J$8:$J$269,PPTO!D$8:D$269)=0," ",LOOKUP(M73,PPTO!$J$8:$J$269,PPTO!D$8:D$269))</f>
        <v>ML</v>
      </c>
      <c r="D73" s="90" t="str">
        <f>IF(LOOKUP(M73,PPTO!$J$8:$J$269,PPTO!E$8:E$269)=0," ",LOOKUP(M73,PPTO!$J$8:$J$269,PPTO!E$8:E$269))</f>
        <v xml:space="preserve"> </v>
      </c>
      <c r="E73" s="90" t="str">
        <f>IF(LOOKUP(M73,PPTO!$J$8:$J$269,PPTO!F$8:F$269)=0," ",LOOKUP(M73,PPTO!$J$8:$J$269,PPTO!F$8:F$269))</f>
        <v xml:space="preserve"> </v>
      </c>
      <c r="F73" s="90" t="str">
        <f>IF(LOOKUP(M73,PPTO!$J$8:$J$269,PPTO!H$8:H$269)=0," ",LOOKUP(M73,PPTO!$J$8:$J$269,PPTO!H$8:H$269))</f>
        <v xml:space="preserve"> </v>
      </c>
      <c r="G73" s="178">
        <v>7554</v>
      </c>
      <c r="H73" s="102" t="e">
        <f t="shared" ref="H73:H77" si="5">ROUND(G73*E73,0)</f>
        <v>#VALUE!</v>
      </c>
      <c r="I73" s="174">
        <v>0</v>
      </c>
      <c r="J73" s="102" t="e">
        <f t="shared" ref="J73:J77" si="6">ROUND(I73*E73,0)</f>
        <v>#VALUE!</v>
      </c>
      <c r="K73" s="102" t="e">
        <f>I73+'ACTA PARCIAL No.9'!K73</f>
        <v>#REF!</v>
      </c>
      <c r="L73" s="102" t="e">
        <f t="shared" ref="L73:L77" si="7">ROUND(K73*E73,0)</f>
        <v>#REF!</v>
      </c>
      <c r="M73" s="108">
        <f t="shared" si="4"/>
        <v>47</v>
      </c>
    </row>
    <row r="74" spans="1:13">
      <c r="A74" s="87" t="str">
        <f>IF(LOOKUP(M74,PPTO!$J$8:$J$269,PPTO!A$8:A$269)=0," ",LOOKUP(M74,PPTO!$J$8:$J$269,PPTO!A$8:A$269))</f>
        <v>7.02</v>
      </c>
      <c r="B74" s="91" t="str">
        <f>IF(LOOKUP(M74,PPTO!$J$8:J$269,PPTO!B$8:B$269)=0," ",LOOKUP(M74,PPTO!$J$8:J$269,PPTO!B$8:B$269))</f>
        <v>SUM TUB PVC 8" ALC</v>
      </c>
      <c r="C74" s="145" t="str">
        <f>IF(LOOKUP(M74,PPTO!$J$8:$J$269,PPTO!D$8:D$269)=0," ",LOOKUP(M74,PPTO!$J$8:$J$269,PPTO!D$8:D$269))</f>
        <v>ML</v>
      </c>
      <c r="D74" s="90" t="str">
        <f>IF(LOOKUP(M74,PPTO!$J$8:$J$269,PPTO!E$8:E$269)=0," ",LOOKUP(M74,PPTO!$J$8:$J$269,PPTO!E$8:E$269))</f>
        <v xml:space="preserve"> </v>
      </c>
      <c r="E74" s="90" t="str">
        <f>IF(LOOKUP(M74,PPTO!$J$8:$J$269,PPTO!F$8:F$269)=0," ",LOOKUP(M74,PPTO!$J$8:$J$269,PPTO!F$8:F$269))</f>
        <v xml:space="preserve"> </v>
      </c>
      <c r="F74" s="90" t="str">
        <f>IF(LOOKUP(M74,PPTO!$J$8:$J$269,PPTO!H$8:H$269)=0," ",LOOKUP(M74,PPTO!$J$8:$J$269,PPTO!H$8:H$269))</f>
        <v xml:space="preserve"> </v>
      </c>
      <c r="G74" s="178">
        <v>10629.07</v>
      </c>
      <c r="H74" s="102" t="e">
        <f t="shared" si="5"/>
        <v>#VALUE!</v>
      </c>
      <c r="I74" s="174">
        <v>0</v>
      </c>
      <c r="J74" s="102" t="e">
        <f t="shared" si="6"/>
        <v>#VALUE!</v>
      </c>
      <c r="K74" s="102" t="e">
        <f>I74+'ACTA PARCIAL No.9'!K74</f>
        <v>#REF!</v>
      </c>
      <c r="L74" s="102" t="e">
        <f t="shared" si="7"/>
        <v>#REF!</v>
      </c>
      <c r="M74" s="108">
        <f t="shared" si="4"/>
        <v>48</v>
      </c>
    </row>
    <row r="75" spans="1:13">
      <c r="A75" s="87" t="str">
        <f>IF(LOOKUP(M75,PPTO!$J$8:$J$269,PPTO!A$8:A$269)=0," ",LOOKUP(M75,PPTO!$J$8:$J$269,PPTO!A$8:A$269))</f>
        <v>7.03</v>
      </c>
      <c r="B75" s="91" t="str">
        <f>IF(LOOKUP(M75,PPTO!$J$8:J$269,PPTO!B$8:B$269)=0," ",LOOKUP(M75,PPTO!$J$8:J$269,PPTO!B$8:B$269))</f>
        <v>SUM TUB PVC 10" ALC</v>
      </c>
      <c r="C75" s="89" t="str">
        <f>IF(LOOKUP(M75,PPTO!$J$8:$J$269,PPTO!D$8:D$269)=0," ",LOOKUP(M75,PPTO!$J$8:$J$269,PPTO!D$8:D$269))</f>
        <v>ML</v>
      </c>
      <c r="D75" s="90" t="str">
        <f>IF(LOOKUP(M75,PPTO!$J$8:$J$269,PPTO!E$8:E$269)=0," ",LOOKUP(M75,PPTO!$J$8:$J$269,PPTO!E$8:E$269))</f>
        <v xml:space="preserve"> </v>
      </c>
      <c r="E75" s="90" t="str">
        <f>IF(LOOKUP(M75,PPTO!$J$8:$J$269,PPTO!F$8:F$269)=0," ",LOOKUP(M75,PPTO!$J$8:$J$269,PPTO!F$8:F$269))</f>
        <v xml:space="preserve"> </v>
      </c>
      <c r="F75" s="90" t="str">
        <f>IF(LOOKUP(M75,PPTO!$J$8:$J$269,PPTO!H$8:H$269)=0," ",LOOKUP(M75,PPTO!$J$8:$J$269,PPTO!H$8:H$269))</f>
        <v xml:space="preserve"> </v>
      </c>
      <c r="G75" s="178">
        <v>119.02</v>
      </c>
      <c r="H75" s="102" t="e">
        <f t="shared" si="5"/>
        <v>#VALUE!</v>
      </c>
      <c r="I75" s="174">
        <v>0</v>
      </c>
      <c r="J75" s="102" t="e">
        <f t="shared" si="6"/>
        <v>#VALUE!</v>
      </c>
      <c r="K75" s="102" t="e">
        <f>I75+'ACTA PARCIAL No.9'!K75</f>
        <v>#REF!</v>
      </c>
      <c r="L75" s="102" t="e">
        <f t="shared" si="7"/>
        <v>#REF!</v>
      </c>
      <c r="M75" s="108">
        <f t="shared" si="4"/>
        <v>49</v>
      </c>
    </row>
    <row r="76" spans="1:13">
      <c r="A76" s="87" t="str">
        <f>IF(LOOKUP(M76,PPTO!$J$8:$J$269,PPTO!A$8:A$269)=0," ",LOOKUP(M76,PPTO!$J$8:$J$269,PPTO!A$8:A$269))</f>
        <v>7.04</v>
      </c>
      <c r="B76" s="91" t="str">
        <f>IF(LOOKUP(M76,PPTO!$J$8:J$269,PPTO!B$8:B$269)=0," ",LOOKUP(M76,PPTO!$J$8:J$269,PPTO!B$8:B$269))</f>
        <v>SUM TUB PVC 12" ALC</v>
      </c>
      <c r="C76" s="89" t="str">
        <f>IF(LOOKUP(M76,PPTO!$J$8:$J$269,PPTO!D$8:D$269)=0," ",LOOKUP(M76,PPTO!$J$8:$J$269,PPTO!D$8:D$269))</f>
        <v>ML</v>
      </c>
      <c r="D76" s="90" t="str">
        <f>IF(LOOKUP(M76,PPTO!$J$8:$J$269,PPTO!E$8:E$269)=0," ",LOOKUP(M76,PPTO!$J$8:$J$269,PPTO!E$8:E$269))</f>
        <v xml:space="preserve"> </v>
      </c>
      <c r="E76" s="90" t="str">
        <f>IF(LOOKUP(M76,PPTO!$J$8:$J$269,PPTO!F$8:F$269)=0," ",LOOKUP(M76,PPTO!$J$8:$J$269,PPTO!F$8:F$269))</f>
        <v xml:space="preserve"> </v>
      </c>
      <c r="F76" s="90" t="str">
        <f>IF(LOOKUP(M76,PPTO!$J$8:$J$269,PPTO!H$8:H$269)=0," ",LOOKUP(M76,PPTO!$J$8:$J$269,PPTO!H$8:H$269))</f>
        <v xml:space="preserve"> </v>
      </c>
      <c r="G76" s="178">
        <v>293.73</v>
      </c>
      <c r="H76" s="102" t="e">
        <f t="shared" si="5"/>
        <v>#VALUE!</v>
      </c>
      <c r="I76" s="174">
        <v>0</v>
      </c>
      <c r="J76" s="102" t="e">
        <f t="shared" si="6"/>
        <v>#VALUE!</v>
      </c>
      <c r="K76" s="102" t="e">
        <f>I76+'ACTA PARCIAL No.9'!K76</f>
        <v>#REF!</v>
      </c>
      <c r="L76" s="102" t="e">
        <f t="shared" si="7"/>
        <v>#REF!</v>
      </c>
      <c r="M76" s="108">
        <f t="shared" si="4"/>
        <v>50</v>
      </c>
    </row>
    <row r="77" spans="1:13">
      <c r="A77" s="87" t="str">
        <f>IF(LOOKUP(M77,PPTO!$J$8:$J$269,PPTO!A$8:A$269)=0," ",LOOKUP(M77,PPTO!$J$8:$J$269,PPTO!A$8:A$269))</f>
        <v>7.05</v>
      </c>
      <c r="B77" s="91" t="str">
        <f>IF(LOOKUP(M77,PPTO!$J$8:J$269,PPTO!B$8:B$269)=0," ",LOOKUP(M77,PPTO!$J$8:J$269,PPTO!B$8:B$269))</f>
        <v>SUMINISTRO TUB PVC NOVAFORT 14 "</v>
      </c>
      <c r="C77" s="89" t="str">
        <f>IF(LOOKUP(M77,PPTO!$J$8:$J$269,PPTO!D$8:D$269)=0," ",LOOKUP(M77,PPTO!$J$8:$J$269,PPTO!D$8:D$269))</f>
        <v>ML</v>
      </c>
      <c r="D77" s="90" t="str">
        <f>IF(LOOKUP(M77,PPTO!$J$8:$J$269,PPTO!E$8:E$269)=0," ",LOOKUP(M77,PPTO!$J$8:$J$269,PPTO!E$8:E$269))</f>
        <v xml:space="preserve"> </v>
      </c>
      <c r="E77" s="90" t="str">
        <f>IF(LOOKUP(M77,PPTO!$J$8:$J$269,PPTO!F$8:F$269)=0," ",LOOKUP(M77,PPTO!$J$8:$J$269,PPTO!F$8:F$269))</f>
        <v xml:space="preserve"> </v>
      </c>
      <c r="F77" s="90" t="str">
        <f>IF(LOOKUP(M77,PPTO!$J$8:$J$269,PPTO!H$8:H$269)=0," ",LOOKUP(M77,PPTO!$J$8:$J$269,PPTO!H$8:H$269))</f>
        <v xml:space="preserve"> </v>
      </c>
      <c r="G77" s="178">
        <v>915</v>
      </c>
      <c r="H77" s="102" t="e">
        <f t="shared" si="5"/>
        <v>#VALUE!</v>
      </c>
      <c r="I77" s="174">
        <v>0</v>
      </c>
      <c r="J77" s="102" t="e">
        <f t="shared" si="6"/>
        <v>#VALUE!</v>
      </c>
      <c r="K77" s="102" t="e">
        <f>I77+'ACTA PARCIAL No.9'!K77</f>
        <v>#REF!</v>
      </c>
      <c r="L77" s="102" t="e">
        <f t="shared" si="7"/>
        <v>#REF!</v>
      </c>
      <c r="M77" s="108">
        <f t="shared" si="4"/>
        <v>51</v>
      </c>
    </row>
    <row r="78" spans="1:13">
      <c r="A78" s="87"/>
      <c r="B78" s="88"/>
      <c r="C78" s="89"/>
      <c r="D78" s="90"/>
      <c r="E78" s="90"/>
      <c r="F78" s="97"/>
      <c r="G78" s="179"/>
      <c r="H78" s="177"/>
      <c r="I78" s="174"/>
      <c r="J78" s="148"/>
      <c r="K78" s="102"/>
      <c r="L78" s="148"/>
      <c r="M78" s="108"/>
    </row>
    <row r="79" spans="1:13">
      <c r="A79" s="87"/>
      <c r="B79" s="275" t="s">
        <v>348</v>
      </c>
      <c r="C79" s="276"/>
      <c r="D79" s="277"/>
      <c r="E79" s="277"/>
      <c r="F79" s="277">
        <v>0</v>
      </c>
      <c r="G79" s="278"/>
      <c r="H79" s="278">
        <v>0</v>
      </c>
      <c r="I79" s="279"/>
      <c r="J79" s="279">
        <v>0</v>
      </c>
      <c r="K79" s="279"/>
      <c r="L79" s="279">
        <v>0</v>
      </c>
      <c r="M79" s="108"/>
    </row>
    <row r="80" spans="1:13" ht="12.75" thickBot="1">
      <c r="A80" s="87"/>
      <c r="B80" s="91"/>
      <c r="C80" s="89"/>
      <c r="D80" s="90"/>
      <c r="E80" s="90"/>
      <c r="F80" s="90"/>
      <c r="G80" s="161"/>
      <c r="H80" s="161"/>
      <c r="I80" s="102"/>
      <c r="J80" s="102"/>
      <c r="K80" s="102"/>
      <c r="L80" s="102"/>
      <c r="M80" s="108"/>
    </row>
    <row r="81" spans="1:13" ht="12.75" thickBot="1">
      <c r="A81" s="92"/>
      <c r="B81" s="280" t="s">
        <v>326</v>
      </c>
      <c r="C81" s="281"/>
      <c r="D81" s="282"/>
      <c r="E81" s="282"/>
      <c r="F81" s="283">
        <f>SUM(F73:F80)</f>
        <v>0</v>
      </c>
      <c r="G81" s="284"/>
      <c r="H81" s="283" t="e">
        <f>SUM(H73:H80)</f>
        <v>#VALUE!</v>
      </c>
      <c r="I81" s="284"/>
      <c r="J81" s="283" t="e">
        <f>SUM(J73:J80)</f>
        <v>#VALUE!</v>
      </c>
      <c r="K81" s="284"/>
      <c r="L81" s="283" t="e">
        <f>SUM(L73:L80)</f>
        <v>#REF!</v>
      </c>
      <c r="M81" s="108"/>
    </row>
    <row r="82" spans="1:13" ht="12.75" thickBot="1">
      <c r="A82" s="87"/>
      <c r="B82" s="285" t="s">
        <v>174</v>
      </c>
      <c r="C82" s="286" t="s">
        <v>296</v>
      </c>
      <c r="D82" s="287">
        <f>DATOS!E192</f>
        <v>18.5</v>
      </c>
      <c r="E82" s="288"/>
      <c r="F82" s="288">
        <f>ROUND(F$81*$D$82/100,0)</f>
        <v>0</v>
      </c>
      <c r="G82" s="289"/>
      <c r="H82" s="288" t="e">
        <f>ROUND(H$81*$D$82/100,0)</f>
        <v>#VALUE!</v>
      </c>
      <c r="I82" s="289"/>
      <c r="J82" s="288" t="e">
        <f>ROUND(J$81*$D$82/100,0)</f>
        <v>#VALUE!</v>
      </c>
      <c r="K82" s="289"/>
      <c r="L82" s="288" t="e">
        <f>ROUND(L$81*$D$82/100,0)</f>
        <v>#REF!</v>
      </c>
      <c r="M82" s="108"/>
    </row>
    <row r="83" spans="1:13" ht="12.75" thickBot="1">
      <c r="A83" s="87"/>
      <c r="B83" s="280" t="s">
        <v>327</v>
      </c>
      <c r="C83" s="281"/>
      <c r="D83" s="282"/>
      <c r="E83" s="282"/>
      <c r="F83" s="283">
        <f>F82</f>
        <v>0</v>
      </c>
      <c r="G83" s="284"/>
      <c r="H83" s="283" t="e">
        <f>H82</f>
        <v>#VALUE!</v>
      </c>
      <c r="I83" s="284"/>
      <c r="J83" s="283" t="e">
        <f>J82</f>
        <v>#VALUE!</v>
      </c>
      <c r="K83" s="284"/>
      <c r="L83" s="283" t="e">
        <f>L82</f>
        <v>#REF!</v>
      </c>
      <c r="M83" s="108"/>
    </row>
    <row r="84" spans="1:13" ht="12.75" thickBot="1">
      <c r="A84" s="87"/>
      <c r="B84" s="1150"/>
      <c r="C84" s="1150"/>
      <c r="D84" s="293"/>
      <c r="E84" s="293"/>
      <c r="F84" s="293"/>
      <c r="G84" s="279"/>
      <c r="H84" s="293"/>
      <c r="I84" s="279"/>
      <c r="J84" s="293"/>
      <c r="K84" s="279"/>
      <c r="L84" s="293"/>
      <c r="M84" s="108"/>
    </row>
    <row r="85" spans="1:13" ht="12.75" thickBot="1">
      <c r="A85" s="87"/>
      <c r="B85" s="280" t="s">
        <v>328</v>
      </c>
      <c r="C85" s="281"/>
      <c r="D85" s="282"/>
      <c r="E85" s="282"/>
      <c r="F85" s="283">
        <f>F81+F83</f>
        <v>0</v>
      </c>
      <c r="G85" s="284"/>
      <c r="H85" s="283" t="e">
        <f>H81+H83</f>
        <v>#VALUE!</v>
      </c>
      <c r="I85" s="284"/>
      <c r="J85" s="283" t="e">
        <f>J81+J83</f>
        <v>#VALUE!</v>
      </c>
      <c r="K85" s="284"/>
      <c r="L85" s="283" t="e">
        <f>L81+L83</f>
        <v>#REF!</v>
      </c>
      <c r="M85" s="108"/>
    </row>
    <row r="86" spans="1:13" ht="25.15" customHeight="1" thickBot="1">
      <c r="A86" s="87"/>
      <c r="B86" s="1151"/>
      <c r="C86" s="1151"/>
      <c r="D86" s="293"/>
      <c r="E86" s="293"/>
      <c r="F86" s="293"/>
      <c r="G86" s="279"/>
      <c r="H86" s="293"/>
      <c r="I86" s="279"/>
      <c r="J86" s="293"/>
      <c r="K86" s="279"/>
      <c r="L86" s="293"/>
      <c r="M86" s="108"/>
    </row>
    <row r="87" spans="1:13" ht="12.75" thickBot="1">
      <c r="A87" s="87"/>
      <c r="B87" s="280" t="s">
        <v>325</v>
      </c>
      <c r="C87" s="281"/>
      <c r="D87" s="282"/>
      <c r="E87" s="282"/>
      <c r="F87" s="283">
        <f>F70</f>
        <v>0</v>
      </c>
      <c r="G87" s="284"/>
      <c r="H87" s="283" t="e">
        <f>H70</f>
        <v>#VALUE!</v>
      </c>
      <c r="I87" s="284"/>
      <c r="J87" s="283" t="e">
        <f>J70</f>
        <v>#VALUE!</v>
      </c>
      <c r="K87" s="284"/>
      <c r="L87" s="283" t="e">
        <f>L70</f>
        <v>#REF!</v>
      </c>
      <c r="M87" s="108"/>
    </row>
    <row r="88" spans="1:13" ht="5.45" customHeight="1" thickBot="1">
      <c r="A88" s="87"/>
      <c r="B88" s="1151"/>
      <c r="C88" s="1151"/>
      <c r="D88" s="293"/>
      <c r="E88" s="293"/>
      <c r="F88" s="293"/>
      <c r="G88" s="279"/>
      <c r="H88" s="293"/>
      <c r="I88" s="279"/>
      <c r="J88" s="293"/>
      <c r="K88" s="279"/>
      <c r="L88" s="293"/>
      <c r="M88" s="108"/>
    </row>
    <row r="89" spans="1:13" ht="12.75" thickBot="1">
      <c r="A89" s="87"/>
      <c r="B89" s="280" t="s">
        <v>328</v>
      </c>
      <c r="C89" s="281"/>
      <c r="D89" s="282"/>
      <c r="E89" s="282"/>
      <c r="F89" s="283">
        <f>F85</f>
        <v>0</v>
      </c>
      <c r="G89" s="284"/>
      <c r="H89" s="283" t="e">
        <f>H85</f>
        <v>#VALUE!</v>
      </c>
      <c r="I89" s="284"/>
      <c r="J89" s="283" t="e">
        <f>J85</f>
        <v>#VALUE!</v>
      </c>
      <c r="K89" s="284"/>
      <c r="L89" s="283" t="e">
        <f>L85</f>
        <v>#REF!</v>
      </c>
      <c r="M89" s="108"/>
    </row>
    <row r="90" spans="1:13" ht="12.75" thickBot="1">
      <c r="A90" s="87"/>
      <c r="B90" s="976"/>
      <c r="C90" s="976"/>
      <c r="D90" s="144"/>
      <c r="E90" s="90"/>
      <c r="F90" s="90"/>
      <c r="G90" s="161"/>
      <c r="H90" s="156"/>
      <c r="I90" s="161"/>
      <c r="J90" s="156"/>
      <c r="K90" s="161"/>
      <c r="L90" s="156"/>
      <c r="M90" s="108"/>
    </row>
    <row r="91" spans="1:13" ht="15" customHeight="1" thickBot="1">
      <c r="A91" s="87"/>
      <c r="B91" s="157" t="s">
        <v>117</v>
      </c>
      <c r="C91" s="158"/>
      <c r="D91" s="159"/>
      <c r="E91" s="159"/>
      <c r="F91" s="160">
        <f>F87+F89</f>
        <v>0</v>
      </c>
      <c r="G91" s="163"/>
      <c r="H91" s="164" t="e">
        <f>H87+H89</f>
        <v>#VALUE!</v>
      </c>
      <c r="I91" s="165"/>
      <c r="J91" s="166" t="e">
        <f>J87+J89</f>
        <v>#VALUE!</v>
      </c>
      <c r="K91" s="167"/>
      <c r="L91" s="168" t="e">
        <f>L87+L89</f>
        <v>#REF!</v>
      </c>
      <c r="M91" s="108"/>
    </row>
    <row r="92" spans="1:13">
      <c r="A92" s="87"/>
      <c r="B92" s="88"/>
      <c r="C92" s="89"/>
      <c r="D92" s="90"/>
      <c r="E92" s="90"/>
      <c r="F92" s="90"/>
      <c r="G92" s="162"/>
      <c r="H92" s="162"/>
      <c r="I92" s="102"/>
      <c r="K92" s="102"/>
      <c r="L92" s="102"/>
      <c r="M92" s="108"/>
    </row>
    <row r="93" spans="1:13">
      <c r="A93" s="87"/>
      <c r="B93" s="88"/>
      <c r="C93" s="89"/>
      <c r="D93" s="90"/>
      <c r="E93" s="90"/>
      <c r="F93" s="90"/>
      <c r="G93" s="102"/>
      <c r="H93" s="102"/>
      <c r="I93" s="102"/>
      <c r="J93" s="102"/>
      <c r="K93" s="102"/>
      <c r="L93" s="102"/>
      <c r="M93" s="108"/>
    </row>
    <row r="94" spans="1:13">
      <c r="A94" s="84"/>
      <c r="B94" s="93"/>
      <c r="C94" s="84"/>
      <c r="D94" s="86"/>
      <c r="E94" s="86"/>
      <c r="F94" s="86"/>
      <c r="G94" s="85"/>
      <c r="H94" s="85"/>
      <c r="I94" s="85"/>
      <c r="J94" s="85"/>
      <c r="K94" s="85"/>
      <c r="L94" s="85"/>
      <c r="M94" s="108"/>
    </row>
    <row r="95" spans="1:13">
      <c r="B95" s="111" t="s">
        <v>251</v>
      </c>
      <c r="C95" s="84"/>
      <c r="D95" s="86"/>
      <c r="E95" s="86"/>
      <c r="F95" s="86"/>
      <c r="G95" s="85"/>
      <c r="H95" s="111" t="s">
        <v>263</v>
      </c>
      <c r="I95" s="85"/>
      <c r="J95" s="85"/>
      <c r="K95" s="85"/>
      <c r="L95" s="85"/>
      <c r="M95" s="108"/>
    </row>
    <row r="96" spans="1:13">
      <c r="A96" s="84"/>
      <c r="B96" s="113" t="s">
        <v>252</v>
      </c>
      <c r="C96" s="121"/>
      <c r="D96" s="123" t="s">
        <v>259</v>
      </c>
      <c r="E96" s="112"/>
      <c r="F96" s="112">
        <f>F7</f>
        <v>0</v>
      </c>
      <c r="G96" s="85"/>
      <c r="H96" s="117" t="s">
        <v>13</v>
      </c>
      <c r="I96" s="118"/>
      <c r="J96" s="120" t="s">
        <v>259</v>
      </c>
      <c r="K96" s="112"/>
      <c r="L96" s="112">
        <f>DATOS!E48</f>
        <v>0</v>
      </c>
      <c r="M96" s="108"/>
    </row>
    <row r="97" spans="1:13">
      <c r="A97" s="84"/>
      <c r="B97" s="113" t="s">
        <v>257</v>
      </c>
      <c r="C97" s="121"/>
      <c r="D97" s="123" t="s">
        <v>259</v>
      </c>
      <c r="E97" s="112"/>
      <c r="F97" s="112">
        <f>F8</f>
        <v>30000000</v>
      </c>
      <c r="G97" s="85"/>
      <c r="H97" s="117" t="s">
        <v>260</v>
      </c>
      <c r="I97" s="118"/>
      <c r="J97" s="120" t="s">
        <v>259</v>
      </c>
      <c r="K97" s="112"/>
      <c r="L97" s="112">
        <v>50000000</v>
      </c>
      <c r="M97" s="108"/>
    </row>
    <row r="98" spans="1:13">
      <c r="A98" s="84"/>
      <c r="B98" s="113" t="s">
        <v>258</v>
      </c>
      <c r="C98" s="121"/>
      <c r="D98" s="123" t="s">
        <v>259</v>
      </c>
      <c r="E98" s="112"/>
      <c r="F98" s="112">
        <f>F9</f>
        <v>0</v>
      </c>
      <c r="G98" s="85"/>
      <c r="H98" s="117" t="s">
        <v>261</v>
      </c>
      <c r="I98" s="118"/>
      <c r="J98" s="120" t="s">
        <v>259</v>
      </c>
      <c r="K98" s="112"/>
      <c r="L98" s="112">
        <f>'ACTA PARCIAL No.9'!L98</f>
        <v>69873868</v>
      </c>
      <c r="M98" s="108"/>
    </row>
    <row r="99" spans="1:13">
      <c r="A99" s="84"/>
      <c r="B99" s="113" t="s">
        <v>253</v>
      </c>
      <c r="C99" s="121"/>
      <c r="D99" s="123" t="s">
        <v>259</v>
      </c>
      <c r="E99" s="112" t="e">
        <f>'ACTA PARCIAL No.1'!E99</f>
        <v>#VALUE!</v>
      </c>
      <c r="F99" s="112"/>
      <c r="G99" s="85"/>
      <c r="H99" s="117" t="s">
        <v>262</v>
      </c>
      <c r="I99" s="118"/>
      <c r="J99" s="120" t="s">
        <v>259</v>
      </c>
      <c r="K99" s="112" t="e">
        <f>ROUND(E99*DATOS!$I$48,0)</f>
        <v>#VALUE!</v>
      </c>
      <c r="L99" s="112"/>
      <c r="M99" s="108"/>
    </row>
    <row r="100" spans="1:13">
      <c r="A100" s="84"/>
      <c r="B100" s="113" t="s">
        <v>272</v>
      </c>
      <c r="C100" s="121"/>
      <c r="D100" s="123" t="s">
        <v>259</v>
      </c>
      <c r="E100" s="112" t="e">
        <f>#REF!</f>
        <v>#REF!</v>
      </c>
      <c r="F100" s="112"/>
      <c r="G100" s="85"/>
      <c r="H100" s="117" t="s">
        <v>273</v>
      </c>
      <c r="I100" s="118"/>
      <c r="J100" s="120" t="s">
        <v>259</v>
      </c>
      <c r="K100" s="112" t="e">
        <f>ROUND(E100*DATOS!$I$48,0)</f>
        <v>#REF!</v>
      </c>
      <c r="L100" s="112"/>
      <c r="M100" s="108"/>
    </row>
    <row r="101" spans="1:13">
      <c r="A101" s="84"/>
      <c r="B101" s="113" t="s">
        <v>297</v>
      </c>
      <c r="C101" s="121"/>
      <c r="D101" s="123" t="s">
        <v>259</v>
      </c>
      <c r="E101" s="112" t="e">
        <f>#REF!</f>
        <v>#REF!</v>
      </c>
      <c r="F101" s="112"/>
      <c r="G101" s="85"/>
      <c r="H101" s="117" t="s">
        <v>304</v>
      </c>
      <c r="I101" s="118"/>
      <c r="J101" s="120" t="s">
        <v>259</v>
      </c>
      <c r="K101" s="112" t="e">
        <f>ROUND(E101*DATOS!$I$48,0)</f>
        <v>#REF!</v>
      </c>
      <c r="L101" s="112"/>
      <c r="M101" s="108"/>
    </row>
    <row r="102" spans="1:13">
      <c r="A102" s="84"/>
      <c r="B102" s="113" t="s">
        <v>298</v>
      </c>
      <c r="C102" s="121"/>
      <c r="D102" s="123" t="s">
        <v>259</v>
      </c>
      <c r="E102" s="112" t="e">
        <f>'ACTA PARCIAL No.4'!E102</f>
        <v>#VALUE!</v>
      </c>
      <c r="F102" s="112"/>
      <c r="G102" s="85"/>
      <c r="H102" s="117" t="s">
        <v>305</v>
      </c>
      <c r="I102" s="118"/>
      <c r="J102" s="120" t="s">
        <v>259</v>
      </c>
      <c r="K102" s="112" t="e">
        <f>ROUND(E102*DATOS!$I$48,0)</f>
        <v>#VALUE!</v>
      </c>
      <c r="L102" s="112"/>
      <c r="M102" s="108"/>
    </row>
    <row r="103" spans="1:13">
      <c r="A103" s="84"/>
      <c r="B103" s="113" t="s">
        <v>299</v>
      </c>
      <c r="C103" s="121"/>
      <c r="D103" s="123" t="s">
        <v>259</v>
      </c>
      <c r="E103" s="112" t="e">
        <f>'ACTA PARCIAL No.5'!E103</f>
        <v>#VALUE!</v>
      </c>
      <c r="F103" s="112"/>
      <c r="G103" s="85"/>
      <c r="H103" s="117" t="s">
        <v>306</v>
      </c>
      <c r="I103" s="118"/>
      <c r="J103" s="120" t="s">
        <v>259</v>
      </c>
      <c r="K103" s="112" t="e">
        <f>ROUND(E103*DATOS!$I$48,0)</f>
        <v>#VALUE!</v>
      </c>
      <c r="L103" s="112"/>
      <c r="M103" s="108"/>
    </row>
    <row r="104" spans="1:13">
      <c r="A104" s="84"/>
      <c r="B104" s="113" t="s">
        <v>300</v>
      </c>
      <c r="C104" s="121"/>
      <c r="D104" s="123" t="s">
        <v>259</v>
      </c>
      <c r="E104" s="112" t="e">
        <f>'ACTA PARCIAL No.6'!E104</f>
        <v>#VALUE!</v>
      </c>
      <c r="F104" s="112"/>
      <c r="G104" s="85"/>
      <c r="H104" s="117" t="s">
        <v>307</v>
      </c>
      <c r="I104" s="118"/>
      <c r="J104" s="120" t="s">
        <v>259</v>
      </c>
      <c r="K104" s="112" t="e">
        <f>ROUND(E104*DATOS!$I$48,0)</f>
        <v>#VALUE!</v>
      </c>
      <c r="L104" s="112"/>
      <c r="M104" s="108"/>
    </row>
    <row r="105" spans="1:13">
      <c r="A105" s="84"/>
      <c r="B105" s="113" t="s">
        <v>301</v>
      </c>
      <c r="C105" s="121"/>
      <c r="D105" s="123" t="s">
        <v>259</v>
      </c>
      <c r="E105" s="112" t="e">
        <f>'ACTA PARCIAL No.7'!E105</f>
        <v>#VALUE!</v>
      </c>
      <c r="F105" s="112"/>
      <c r="G105" s="85"/>
      <c r="H105" s="117" t="s">
        <v>308</v>
      </c>
      <c r="I105" s="118"/>
      <c r="J105" s="120" t="s">
        <v>259</v>
      </c>
      <c r="K105" s="112" t="e">
        <f>ROUND(E105*DATOS!$I$48,0)</f>
        <v>#VALUE!</v>
      </c>
      <c r="L105" s="112"/>
      <c r="M105" s="108"/>
    </row>
    <row r="106" spans="1:13">
      <c r="A106" s="84"/>
      <c r="B106" s="113" t="s">
        <v>302</v>
      </c>
      <c r="C106" s="121"/>
      <c r="D106" s="123" t="s">
        <v>259</v>
      </c>
      <c r="E106" s="112" t="e">
        <f>'ACTA PARCIAL No.8'!E106</f>
        <v>#VALUE!</v>
      </c>
      <c r="F106" s="112"/>
      <c r="G106" s="85"/>
      <c r="H106" s="117" t="s">
        <v>309</v>
      </c>
      <c r="I106" s="118"/>
      <c r="J106" s="120" t="s">
        <v>259</v>
      </c>
      <c r="K106" s="112" t="e">
        <f>ROUND(E106*DATOS!$I$48,0)</f>
        <v>#VALUE!</v>
      </c>
      <c r="L106" s="112"/>
      <c r="M106" s="108"/>
    </row>
    <row r="107" spans="1:13">
      <c r="A107" s="84"/>
      <c r="B107" s="113" t="s">
        <v>303</v>
      </c>
      <c r="C107" s="121"/>
      <c r="D107" s="123" t="s">
        <v>259</v>
      </c>
      <c r="E107" s="112" t="e">
        <f>'ACTA PARCIAL No.9'!E107</f>
        <v>#VALUE!</v>
      </c>
      <c r="F107" s="112"/>
      <c r="G107" s="85"/>
      <c r="H107" s="117" t="s">
        <v>310</v>
      </c>
      <c r="I107" s="118"/>
      <c r="J107" s="120" t="s">
        <v>259</v>
      </c>
      <c r="K107" s="112" t="e">
        <f>ROUND(E107*DATOS!$I$48,0)</f>
        <v>#VALUE!</v>
      </c>
      <c r="L107" s="112"/>
      <c r="M107" s="108"/>
    </row>
    <row r="108" spans="1:13">
      <c r="A108" s="84"/>
      <c r="B108" s="113" t="s">
        <v>380</v>
      </c>
      <c r="C108" s="121"/>
      <c r="D108" s="123" t="s">
        <v>259</v>
      </c>
      <c r="E108" s="112" t="e">
        <f>J91</f>
        <v>#VALUE!</v>
      </c>
      <c r="F108" s="112"/>
      <c r="G108" s="85"/>
      <c r="H108" s="117" t="s">
        <v>381</v>
      </c>
      <c r="I108" s="118"/>
      <c r="J108" s="120" t="s">
        <v>259</v>
      </c>
      <c r="K108" s="112" t="e">
        <f>ROUND(E108*DATOS!$I$48,0)</f>
        <v>#VALUE!</v>
      </c>
      <c r="L108" s="112"/>
      <c r="M108" s="108"/>
    </row>
    <row r="109" spans="1:13">
      <c r="A109" s="84"/>
      <c r="B109" s="113" t="s">
        <v>254</v>
      </c>
      <c r="C109" s="121"/>
      <c r="D109" s="123" t="s">
        <v>259</v>
      </c>
      <c r="E109" s="112" t="e">
        <f>F96+F97+F98-E99-E100-E101-E102-E103-E104-E105-E106-E107-E108</f>
        <v>#VALUE!</v>
      </c>
      <c r="F109" s="112"/>
      <c r="G109" s="85"/>
      <c r="H109" s="117" t="s">
        <v>250</v>
      </c>
      <c r="I109" s="118"/>
      <c r="J109" s="120" t="s">
        <v>259</v>
      </c>
      <c r="K109" s="112" t="e">
        <f>L96+L97+L98-K99-K100-K101-K102-K103-K104-K105-K106-K107-K108</f>
        <v>#VALUE!</v>
      </c>
      <c r="L109" s="112"/>
      <c r="M109" s="108"/>
    </row>
    <row r="110" spans="1:13">
      <c r="A110" s="84"/>
      <c r="B110" s="114" t="s">
        <v>255</v>
      </c>
      <c r="C110" s="121"/>
      <c r="D110" s="123" t="s">
        <v>259</v>
      </c>
      <c r="E110" s="112" t="e">
        <f>SUM(E96:E109)</f>
        <v>#VALUE!</v>
      </c>
      <c r="F110" s="112">
        <f>SUM(F96:F109)</f>
        <v>30000000</v>
      </c>
      <c r="G110" s="85"/>
      <c r="H110" s="119" t="s">
        <v>255</v>
      </c>
      <c r="I110" s="118"/>
      <c r="J110" s="120" t="s">
        <v>259</v>
      </c>
      <c r="K110" s="112" t="e">
        <f>SUM(K96:K109)</f>
        <v>#VALUE!</v>
      </c>
      <c r="L110" s="112">
        <f>SUM(L96:L109)</f>
        <v>119873868</v>
      </c>
      <c r="M110" s="108"/>
    </row>
    <row r="111" spans="1:13">
      <c r="A111" s="84"/>
      <c r="B111" s="93"/>
      <c r="C111" s="84"/>
      <c r="D111" s="86"/>
      <c r="E111" s="86"/>
      <c r="F111" s="86"/>
      <c r="G111" s="85"/>
      <c r="I111" s="85"/>
      <c r="J111" s="85"/>
      <c r="K111" s="85"/>
      <c r="L111" s="85"/>
      <c r="M111" s="108"/>
    </row>
    <row r="112" spans="1:13">
      <c r="A112" s="84"/>
      <c r="B112" s="113" t="s">
        <v>311</v>
      </c>
      <c r="C112" s="121"/>
      <c r="D112" s="122"/>
      <c r="E112" s="123" t="s">
        <v>259</v>
      </c>
      <c r="F112" s="112">
        <f>F96+F97+F98</f>
        <v>30000000</v>
      </c>
      <c r="G112" s="85"/>
      <c r="H112" s="117" t="s">
        <v>265</v>
      </c>
      <c r="I112" s="118"/>
      <c r="J112" s="126"/>
      <c r="K112" s="120" t="s">
        <v>259</v>
      </c>
      <c r="L112" s="112" t="e">
        <f>E108</f>
        <v>#VALUE!</v>
      </c>
      <c r="M112" s="108"/>
    </row>
    <row r="113" spans="1:13">
      <c r="A113" s="84"/>
      <c r="B113" s="113" t="s">
        <v>264</v>
      </c>
      <c r="C113" s="121"/>
      <c r="D113" s="122"/>
      <c r="E113" s="123" t="s">
        <v>259</v>
      </c>
      <c r="F113" s="112" t="e">
        <f>E99+E100+E101+E102+E103+E104+E105+E106+E107+E108</f>
        <v>#VALUE!</v>
      </c>
      <c r="G113" s="85"/>
      <c r="H113" s="117" t="s">
        <v>266</v>
      </c>
      <c r="I113" s="118"/>
      <c r="J113" s="126"/>
      <c r="K113" s="120" t="s">
        <v>259</v>
      </c>
      <c r="L113" s="112" t="e">
        <f>K108</f>
        <v>#VALUE!</v>
      </c>
      <c r="M113" s="108"/>
    </row>
    <row r="114" spans="1:13">
      <c r="A114" s="84"/>
      <c r="B114" s="113" t="s">
        <v>274</v>
      </c>
      <c r="C114" s="121"/>
      <c r="D114" s="122"/>
      <c r="E114" s="123" t="s">
        <v>259</v>
      </c>
      <c r="F114" s="112" t="e">
        <f>K109</f>
        <v>#VALUE!</v>
      </c>
      <c r="G114" s="85"/>
      <c r="H114" s="85"/>
      <c r="I114" s="85"/>
      <c r="J114" s="125"/>
      <c r="K114" s="126"/>
      <c r="L114" s="122"/>
      <c r="M114" s="108"/>
    </row>
    <row r="115" spans="1:13">
      <c r="A115" s="84"/>
      <c r="B115" s="113" t="s">
        <v>254</v>
      </c>
      <c r="C115" s="121"/>
      <c r="D115" s="122"/>
      <c r="E115" s="123" t="s">
        <v>259</v>
      </c>
      <c r="F115" s="112" t="e">
        <f>E109</f>
        <v>#VALUE!</v>
      </c>
      <c r="G115" s="85"/>
      <c r="H115" s="119" t="s">
        <v>267</v>
      </c>
      <c r="I115" s="118"/>
      <c r="J115" s="126"/>
      <c r="K115" s="120" t="s">
        <v>259</v>
      </c>
      <c r="L115" s="116" t="e">
        <f>L112-L113</f>
        <v>#VALUE!</v>
      </c>
      <c r="M115" s="108"/>
    </row>
    <row r="116" spans="1:13">
      <c r="A116" s="84"/>
      <c r="B116" s="114" t="s">
        <v>256</v>
      </c>
      <c r="C116" s="121"/>
      <c r="D116" s="122"/>
      <c r="E116" s="123"/>
      <c r="F116" s="124" t="e">
        <f>F113/F112</f>
        <v>#VALUE!</v>
      </c>
      <c r="G116" s="85"/>
      <c r="H116" s="85"/>
      <c r="I116" s="85"/>
      <c r="J116" s="85"/>
      <c r="K116" s="85"/>
      <c r="L116" s="85"/>
      <c r="M116" s="108"/>
    </row>
    <row r="117" spans="1:13">
      <c r="A117" s="84"/>
      <c r="B117" s="93"/>
      <c r="C117" s="84"/>
      <c r="D117" s="86"/>
      <c r="E117" s="86"/>
      <c r="F117" s="86"/>
      <c r="G117" s="85"/>
      <c r="H117" s="85"/>
      <c r="I117" s="85"/>
      <c r="J117" s="85"/>
      <c r="K117" s="85"/>
      <c r="L117" s="85"/>
      <c r="M117" s="108"/>
    </row>
    <row r="118" spans="1:13" ht="12.75" thickBot="1">
      <c r="A118" s="84"/>
      <c r="B118" s="93"/>
      <c r="C118" s="84"/>
      <c r="D118" s="86"/>
      <c r="E118" s="86"/>
      <c r="F118" s="86"/>
      <c r="G118" s="85"/>
      <c r="H118" s="85"/>
      <c r="I118" s="85"/>
      <c r="J118" s="85"/>
      <c r="K118" s="85"/>
      <c r="L118" s="85"/>
      <c r="M118" s="108"/>
    </row>
    <row r="119" spans="1:13" ht="15" customHeight="1" thickBot="1">
      <c r="A119" s="84"/>
      <c r="B119" s="93" t="s">
        <v>268</v>
      </c>
      <c r="C119" s="1144"/>
      <c r="D119" s="1145"/>
      <c r="E119" s="1145"/>
      <c r="F119" s="1145"/>
      <c r="G119" s="1145"/>
      <c r="H119" s="1145"/>
      <c r="I119" s="1145"/>
      <c r="J119" s="1145"/>
      <c r="K119" s="1145"/>
      <c r="L119" s="1146"/>
      <c r="M119" s="108"/>
    </row>
    <row r="120" spans="1:13">
      <c r="A120" s="84"/>
      <c r="B120" s="93"/>
      <c r="C120" s="84"/>
      <c r="D120" s="86"/>
      <c r="E120" s="86"/>
      <c r="F120" s="86"/>
      <c r="G120" s="85"/>
      <c r="H120" s="85"/>
      <c r="I120" s="85"/>
      <c r="J120" s="85"/>
      <c r="K120" s="85"/>
      <c r="L120" s="85"/>
      <c r="M120" s="108"/>
    </row>
    <row r="121" spans="1:13">
      <c r="A121" s="84"/>
      <c r="B121" s="93"/>
      <c r="C121" s="84"/>
      <c r="D121" s="86"/>
      <c r="E121" s="86"/>
      <c r="F121" s="86"/>
      <c r="G121" s="85"/>
      <c r="H121" s="85"/>
      <c r="I121" s="85"/>
      <c r="J121" s="85"/>
      <c r="K121" s="85"/>
      <c r="L121" s="85"/>
      <c r="M121" s="108"/>
    </row>
    <row r="122" spans="1:13" ht="26.45" customHeight="1">
      <c r="A122" s="84"/>
      <c r="B122" s="1066" t="s">
        <v>269</v>
      </c>
      <c r="C122" s="1066"/>
      <c r="D122" s="1066"/>
      <c r="E122" s="1066"/>
      <c r="F122" s="1066"/>
      <c r="G122" s="1066"/>
      <c r="H122" s="1066"/>
      <c r="I122" s="1066"/>
      <c r="J122" s="1066"/>
      <c r="K122" s="1066"/>
      <c r="L122" s="1066"/>
      <c r="M122" s="108"/>
    </row>
    <row r="123" spans="1:13">
      <c r="A123" s="84"/>
      <c r="B123" s="94"/>
      <c r="C123" s="84"/>
      <c r="D123" s="86"/>
      <c r="E123" s="86"/>
      <c r="F123" s="86"/>
      <c r="G123" s="85"/>
      <c r="H123" s="85"/>
      <c r="I123" s="85"/>
      <c r="J123" s="85"/>
      <c r="K123" s="85"/>
      <c r="L123" s="85"/>
      <c r="M123" s="108"/>
    </row>
    <row r="124" spans="1:13">
      <c r="A124" s="84"/>
      <c r="B124" s="94"/>
      <c r="C124" s="84"/>
      <c r="D124" s="86"/>
      <c r="E124" s="86"/>
      <c r="F124" s="86"/>
      <c r="G124" s="85"/>
      <c r="H124" s="85"/>
      <c r="I124" s="85"/>
      <c r="J124" s="85"/>
      <c r="K124" s="85"/>
      <c r="L124" s="85"/>
      <c r="M124" s="108"/>
    </row>
    <row r="125" spans="1:13">
      <c r="A125" s="84"/>
      <c r="B125" s="94"/>
      <c r="C125" s="84"/>
      <c r="D125" s="86"/>
      <c r="E125" s="86"/>
      <c r="F125" s="86"/>
      <c r="G125" s="85"/>
      <c r="H125" s="85"/>
      <c r="I125" s="85"/>
      <c r="J125" s="85"/>
      <c r="K125" s="85"/>
      <c r="L125" s="85"/>
      <c r="M125" s="108"/>
    </row>
    <row r="126" spans="1:13">
      <c r="A126" s="84"/>
      <c r="B126" s="94"/>
      <c r="C126" s="84"/>
      <c r="D126" s="86"/>
      <c r="E126" s="86"/>
      <c r="F126" s="86"/>
      <c r="G126" s="85"/>
      <c r="H126" s="85"/>
      <c r="I126" s="85"/>
      <c r="J126" s="85"/>
      <c r="K126" s="85"/>
      <c r="L126" s="85"/>
      <c r="M126" s="108"/>
    </row>
    <row r="127" spans="1:13">
      <c r="A127" s="84"/>
      <c r="B127" s="94"/>
      <c r="C127" s="84"/>
      <c r="D127" s="86"/>
      <c r="E127" s="86"/>
      <c r="F127" s="86"/>
      <c r="G127" s="85"/>
      <c r="H127" s="85"/>
      <c r="I127" s="85"/>
      <c r="J127" s="85"/>
      <c r="K127" s="85"/>
      <c r="L127" s="85"/>
      <c r="M127" s="108"/>
    </row>
    <row r="128" spans="1:13">
      <c r="A128" s="84"/>
      <c r="B128" s="85" t="s">
        <v>271</v>
      </c>
      <c r="C128" s="84"/>
      <c r="D128" s="86"/>
      <c r="E128" s="85" t="s">
        <v>271</v>
      </c>
      <c r="F128" s="86"/>
      <c r="G128" s="85"/>
      <c r="H128" s="85"/>
      <c r="I128" s="85"/>
      <c r="J128" s="85" t="s">
        <v>271</v>
      </c>
      <c r="K128" s="85"/>
      <c r="L128" s="85"/>
      <c r="M128" s="108"/>
    </row>
    <row r="129" spans="1:13">
      <c r="A129" s="84"/>
      <c r="B129" s="115">
        <f>IF(DATOS!E16="Persona Jurídica",DATOS!G20,DATOS!G16)</f>
        <v>0</v>
      </c>
      <c r="C129" s="84"/>
      <c r="D129" s="86"/>
      <c r="E129" s="128">
        <f>IF(DATOS!E10="CONTRATO DE OBRA",IF(DATOS!E24="Persona Jurídica",DATOS!G28,DATOS!G24),DATOS!G30)</f>
        <v>0</v>
      </c>
      <c r="F129" s="86"/>
      <c r="G129" s="85"/>
      <c r="H129" s="85"/>
      <c r="I129" s="85"/>
      <c r="J129" s="115">
        <f>DATOS!E42</f>
        <v>0</v>
      </c>
      <c r="K129" s="85"/>
      <c r="L129" s="85"/>
      <c r="M129" s="108"/>
    </row>
    <row r="130" spans="1:13">
      <c r="A130" s="84"/>
      <c r="B130" s="85" t="str">
        <f>IF(DATOS!E16="Persona Jurídica",DATOS!G16,"CONTRATISTA")</f>
        <v>CONTRATISTA</v>
      </c>
      <c r="C130" s="84"/>
      <c r="D130" s="86"/>
      <c r="E130" s="127" t="str">
        <f>IF(DATOS!E24="Persona Jurídica",DATOS!G24,"INTERVENTOR")</f>
        <v>INTERVENTOR</v>
      </c>
      <c r="F130" s="86"/>
      <c r="G130" s="85"/>
      <c r="H130" s="85"/>
      <c r="I130" s="85"/>
      <c r="J130" s="85" t="s">
        <v>330</v>
      </c>
      <c r="K130" s="85"/>
      <c r="L130" s="85"/>
      <c r="M130" s="108"/>
    </row>
    <row r="131" spans="1:13">
      <c r="A131" s="84"/>
      <c r="B131" s="85" t="str">
        <f>IF(DATOS!E16="Persona jurídica","CONTRATISTA"," ")</f>
        <v xml:space="preserve"> </v>
      </c>
      <c r="C131" s="84"/>
      <c r="D131" s="86"/>
      <c r="E131" s="127" t="str">
        <f>IF(DATOS!E24="Persona jurídica","INTERVENTOR"," ")</f>
        <v xml:space="preserve"> </v>
      </c>
      <c r="F131" s="86"/>
      <c r="G131" s="85"/>
      <c r="H131" s="85"/>
      <c r="I131" s="85"/>
      <c r="J131" s="85" t="s">
        <v>270</v>
      </c>
      <c r="K131" s="85"/>
      <c r="L131" s="85"/>
      <c r="M131" s="108"/>
    </row>
    <row r="132" spans="1:13">
      <c r="A132" s="84"/>
      <c r="B132" s="85"/>
      <c r="C132" s="84"/>
      <c r="D132" s="86"/>
      <c r="E132" s="86"/>
      <c r="F132" s="86"/>
      <c r="G132" s="85"/>
      <c r="H132" s="85"/>
      <c r="I132" s="85"/>
      <c r="J132" s="85"/>
      <c r="K132" s="85"/>
      <c r="L132" s="85"/>
      <c r="M132" s="108"/>
    </row>
    <row r="133" spans="1:13">
      <c r="A133" s="84"/>
      <c r="B133" s="85"/>
      <c r="C133" s="84"/>
      <c r="D133" s="86"/>
      <c r="E133" s="86"/>
      <c r="F133" s="86"/>
      <c r="G133" s="85"/>
      <c r="H133" s="85"/>
      <c r="I133" s="85"/>
      <c r="J133" s="85"/>
      <c r="K133" s="85"/>
      <c r="L133" s="85"/>
      <c r="M133" s="108"/>
    </row>
    <row r="134" spans="1:13">
      <c r="A134" s="84"/>
      <c r="B134" s="85"/>
      <c r="C134" s="84"/>
      <c r="D134" s="86"/>
      <c r="E134" s="86"/>
      <c r="F134" s="86"/>
      <c r="G134" s="85"/>
      <c r="H134" s="85"/>
      <c r="I134" s="85"/>
      <c r="J134" s="85"/>
      <c r="K134" s="85"/>
      <c r="L134" s="85"/>
      <c r="M134" s="108"/>
    </row>
    <row r="135" spans="1:13">
      <c r="A135" s="84"/>
      <c r="B135" s="85"/>
      <c r="C135" s="84"/>
      <c r="D135" s="86"/>
      <c r="E135" s="86"/>
      <c r="F135" s="86"/>
      <c r="G135" s="85"/>
      <c r="H135" s="85"/>
      <c r="I135" s="85"/>
      <c r="J135" s="85"/>
      <c r="K135" s="85"/>
      <c r="L135" s="85"/>
      <c r="M135" s="108"/>
    </row>
    <row r="136" spans="1:13">
      <c r="A136" s="84"/>
      <c r="B136" s="85"/>
      <c r="C136" s="84"/>
      <c r="D136" s="86"/>
      <c r="E136" s="86"/>
      <c r="F136" s="86"/>
      <c r="G136" s="85"/>
      <c r="H136" s="85"/>
      <c r="I136" s="85"/>
      <c r="J136" s="85"/>
      <c r="K136" s="85"/>
      <c r="L136" s="85"/>
      <c r="M136" s="108"/>
    </row>
    <row r="137" spans="1:13">
      <c r="A137" s="84"/>
      <c r="B137" s="85"/>
      <c r="C137" s="84"/>
      <c r="D137" s="86"/>
      <c r="E137" s="86"/>
      <c r="F137" s="86"/>
      <c r="G137" s="85"/>
      <c r="H137" s="85"/>
      <c r="I137" s="85"/>
      <c r="J137" s="85"/>
      <c r="K137" s="85"/>
      <c r="L137" s="85"/>
      <c r="M137" s="108"/>
    </row>
    <row r="138" spans="1:13">
      <c r="A138" s="84"/>
      <c r="B138" s="85"/>
      <c r="C138" s="84"/>
      <c r="D138" s="86"/>
      <c r="E138" s="86"/>
      <c r="F138" s="86"/>
      <c r="G138" s="85"/>
      <c r="H138" s="85"/>
      <c r="I138" s="85"/>
      <c r="J138" s="85"/>
      <c r="K138" s="85"/>
      <c r="L138" s="85"/>
      <c r="M138" s="108"/>
    </row>
    <row r="139" spans="1:13">
      <c r="A139" s="84"/>
      <c r="B139" s="85"/>
      <c r="C139" s="84"/>
      <c r="D139" s="86"/>
      <c r="E139" s="86"/>
      <c r="F139" s="86"/>
      <c r="G139" s="85"/>
      <c r="H139" s="85"/>
      <c r="I139" s="85"/>
      <c r="J139" s="85"/>
      <c r="K139" s="85"/>
      <c r="L139" s="85"/>
      <c r="M139" s="108"/>
    </row>
    <row r="140" spans="1:13">
      <c r="A140" s="84"/>
      <c r="B140" s="85"/>
      <c r="C140" s="84"/>
      <c r="D140" s="86"/>
      <c r="E140" s="86"/>
      <c r="F140" s="86"/>
      <c r="G140" s="85"/>
      <c r="H140" s="85"/>
      <c r="I140" s="85"/>
      <c r="J140" s="85"/>
      <c r="K140" s="85"/>
      <c r="L140" s="85"/>
      <c r="M140" s="108"/>
    </row>
    <row r="141" spans="1:13">
      <c r="A141" s="84"/>
      <c r="B141" s="85"/>
      <c r="C141" s="84"/>
      <c r="D141" s="86"/>
      <c r="E141" s="86"/>
      <c r="F141" s="86"/>
      <c r="G141" s="85"/>
      <c r="H141" s="85"/>
      <c r="I141" s="85"/>
      <c r="J141" s="85"/>
      <c r="K141" s="85"/>
      <c r="L141" s="85"/>
      <c r="M141" s="108"/>
    </row>
    <row r="142" spans="1:13">
      <c r="A142" s="84"/>
      <c r="B142" s="85"/>
      <c r="C142" s="84"/>
      <c r="D142" s="86"/>
      <c r="E142" s="86"/>
      <c r="F142" s="86"/>
      <c r="G142" s="85"/>
      <c r="H142" s="85"/>
      <c r="I142" s="85"/>
      <c r="J142" s="85"/>
      <c r="K142" s="85"/>
      <c r="L142" s="85"/>
      <c r="M142" s="108"/>
    </row>
    <row r="143" spans="1:13">
      <c r="A143" s="84"/>
      <c r="B143" s="85"/>
      <c r="C143" s="84"/>
      <c r="D143" s="86"/>
      <c r="E143" s="86"/>
      <c r="F143" s="86"/>
      <c r="G143" s="85"/>
      <c r="H143" s="85"/>
      <c r="I143" s="85"/>
      <c r="J143" s="85"/>
      <c r="K143" s="85"/>
      <c r="L143" s="85"/>
      <c r="M143" s="108"/>
    </row>
    <row r="144" spans="1:13">
      <c r="A144" s="84"/>
      <c r="B144" s="85"/>
      <c r="C144" s="84"/>
      <c r="D144" s="86"/>
      <c r="E144" s="86"/>
      <c r="F144" s="86"/>
      <c r="G144" s="85"/>
      <c r="H144" s="85"/>
      <c r="I144" s="85"/>
      <c r="J144" s="85"/>
      <c r="K144" s="85"/>
      <c r="L144" s="85"/>
      <c r="M144" s="108"/>
    </row>
    <row r="145" spans="1:13">
      <c r="A145" s="84"/>
      <c r="B145" s="85"/>
      <c r="C145" s="84"/>
      <c r="D145" s="86"/>
      <c r="E145" s="86"/>
      <c r="F145" s="86"/>
      <c r="G145" s="85"/>
      <c r="H145" s="85"/>
      <c r="I145" s="85"/>
      <c r="J145" s="85"/>
      <c r="K145" s="85"/>
      <c r="L145" s="85"/>
      <c r="M145" s="108"/>
    </row>
    <row r="146" spans="1:13">
      <c r="A146" s="84"/>
      <c r="B146" s="85"/>
      <c r="C146" s="84"/>
      <c r="D146" s="86"/>
      <c r="E146" s="86"/>
      <c r="F146" s="86"/>
      <c r="G146" s="85"/>
      <c r="H146" s="85"/>
      <c r="I146" s="85"/>
      <c r="J146" s="85"/>
      <c r="K146" s="85"/>
      <c r="L146" s="85"/>
      <c r="M146" s="108"/>
    </row>
    <row r="147" spans="1:13">
      <c r="A147" s="84"/>
      <c r="B147" s="85"/>
      <c r="C147" s="84"/>
      <c r="D147" s="86"/>
      <c r="E147" s="86"/>
      <c r="F147" s="86"/>
      <c r="G147" s="85"/>
      <c r="H147" s="85"/>
      <c r="I147" s="85"/>
      <c r="J147" s="85"/>
      <c r="K147" s="85"/>
      <c r="L147" s="85"/>
      <c r="M147" s="108"/>
    </row>
    <row r="148" spans="1:13">
      <c r="A148" s="84"/>
      <c r="B148" s="85"/>
      <c r="C148" s="84"/>
      <c r="D148" s="86"/>
      <c r="E148" s="86"/>
      <c r="F148" s="86"/>
      <c r="G148" s="85"/>
      <c r="H148" s="85"/>
      <c r="I148" s="85"/>
      <c r="J148" s="85"/>
      <c r="K148" s="85"/>
      <c r="L148" s="85"/>
      <c r="M148" s="108"/>
    </row>
    <row r="149" spans="1:13">
      <c r="A149" s="84"/>
      <c r="B149" s="85"/>
      <c r="C149" s="84"/>
      <c r="D149" s="86"/>
      <c r="E149" s="86"/>
      <c r="F149" s="86"/>
      <c r="G149" s="85"/>
      <c r="H149" s="85"/>
      <c r="I149" s="85"/>
      <c r="J149" s="85"/>
      <c r="K149" s="85"/>
      <c r="L149" s="85"/>
      <c r="M149" s="108"/>
    </row>
    <row r="150" spans="1:13">
      <c r="A150" s="84"/>
      <c r="B150" s="85"/>
      <c r="C150" s="84"/>
      <c r="D150" s="86"/>
      <c r="E150" s="86"/>
      <c r="F150" s="86"/>
      <c r="G150" s="85"/>
      <c r="H150" s="85"/>
      <c r="I150" s="85"/>
      <c r="J150" s="85"/>
      <c r="K150" s="85"/>
      <c r="L150" s="85"/>
      <c r="M150" s="108"/>
    </row>
    <row r="151" spans="1:13">
      <c r="A151" s="84"/>
      <c r="B151" s="85"/>
      <c r="C151" s="84"/>
      <c r="D151" s="86"/>
      <c r="E151" s="86"/>
      <c r="F151" s="86"/>
      <c r="G151" s="85"/>
      <c r="H151" s="85"/>
      <c r="I151" s="85"/>
      <c r="J151" s="85"/>
      <c r="K151" s="85"/>
      <c r="L151" s="85"/>
      <c r="M151" s="108"/>
    </row>
    <row r="152" spans="1:13">
      <c r="A152" s="84"/>
      <c r="B152" s="85"/>
      <c r="C152" s="84"/>
      <c r="D152" s="86"/>
      <c r="E152" s="86"/>
      <c r="F152" s="86"/>
      <c r="G152" s="85"/>
      <c r="H152" s="85"/>
      <c r="I152" s="85"/>
      <c r="J152" s="85"/>
      <c r="K152" s="85"/>
      <c r="L152" s="85"/>
      <c r="M152" s="108"/>
    </row>
    <row r="153" spans="1:13">
      <c r="A153" s="84"/>
      <c r="B153" s="85"/>
      <c r="C153" s="84"/>
      <c r="D153" s="86"/>
      <c r="E153" s="86"/>
      <c r="F153" s="86"/>
      <c r="G153" s="85"/>
      <c r="H153" s="85"/>
      <c r="I153" s="85"/>
      <c r="J153" s="85"/>
      <c r="K153" s="85"/>
      <c r="L153" s="85"/>
      <c r="M153" s="108"/>
    </row>
    <row r="154" spans="1:13">
      <c r="A154" s="84"/>
      <c r="B154" s="85"/>
      <c r="C154" s="84"/>
      <c r="D154" s="86"/>
      <c r="E154" s="86"/>
      <c r="F154" s="86"/>
      <c r="G154" s="85"/>
      <c r="H154" s="85"/>
      <c r="I154" s="85"/>
      <c r="J154" s="85"/>
      <c r="K154" s="85"/>
      <c r="L154" s="85"/>
      <c r="M154" s="108"/>
    </row>
    <row r="155" spans="1:13">
      <c r="A155" s="84"/>
      <c r="B155" s="85"/>
      <c r="C155" s="84"/>
      <c r="D155" s="86"/>
      <c r="E155" s="86"/>
      <c r="F155" s="86"/>
      <c r="G155" s="85"/>
      <c r="H155" s="85"/>
      <c r="I155" s="85"/>
      <c r="J155" s="85"/>
      <c r="K155" s="85"/>
      <c r="L155" s="85"/>
      <c r="M155" s="108"/>
    </row>
    <row r="156" spans="1:13">
      <c r="A156" s="84"/>
      <c r="B156" s="85"/>
      <c r="C156" s="84"/>
      <c r="D156" s="86"/>
      <c r="E156" s="86"/>
      <c r="F156" s="86"/>
      <c r="G156" s="85"/>
      <c r="H156" s="85"/>
      <c r="I156" s="85"/>
      <c r="J156" s="85"/>
      <c r="K156" s="85"/>
      <c r="L156" s="85"/>
      <c r="M156" s="108"/>
    </row>
    <row r="157" spans="1:13">
      <c r="A157" s="84"/>
      <c r="B157" s="85"/>
      <c r="C157" s="84"/>
      <c r="D157" s="86"/>
      <c r="E157" s="86"/>
      <c r="F157" s="86"/>
      <c r="G157" s="85"/>
      <c r="H157" s="85"/>
      <c r="I157" s="85"/>
      <c r="J157" s="85"/>
      <c r="K157" s="85"/>
      <c r="L157" s="85"/>
      <c r="M157" s="108"/>
    </row>
    <row r="158" spans="1:13">
      <c r="A158" s="84"/>
      <c r="B158" s="85"/>
      <c r="C158" s="84"/>
      <c r="D158" s="86"/>
      <c r="E158" s="86"/>
      <c r="F158" s="86"/>
      <c r="G158" s="85"/>
      <c r="H158" s="85"/>
      <c r="I158" s="85"/>
      <c r="J158" s="85"/>
      <c r="K158" s="85"/>
      <c r="L158" s="85"/>
      <c r="M158" s="108"/>
    </row>
    <row r="159" spans="1:13">
      <c r="A159" s="84"/>
      <c r="B159" s="85"/>
      <c r="C159" s="84"/>
      <c r="D159" s="86"/>
      <c r="E159" s="86"/>
      <c r="F159" s="86"/>
      <c r="G159" s="85"/>
      <c r="H159" s="85"/>
      <c r="I159" s="85"/>
      <c r="J159" s="85"/>
      <c r="K159" s="85"/>
      <c r="L159" s="85"/>
      <c r="M159" s="108"/>
    </row>
    <row r="160" spans="1:13">
      <c r="A160" s="84"/>
      <c r="B160" s="85"/>
      <c r="C160" s="84"/>
      <c r="D160" s="86"/>
      <c r="E160" s="86"/>
      <c r="F160" s="86"/>
      <c r="G160" s="85"/>
      <c r="H160" s="85"/>
      <c r="I160" s="85"/>
      <c r="J160" s="85"/>
      <c r="K160" s="85"/>
      <c r="L160" s="85"/>
      <c r="M160" s="108"/>
    </row>
    <row r="161" spans="1:13">
      <c r="A161" s="84"/>
      <c r="B161" s="85"/>
      <c r="C161" s="84"/>
      <c r="D161" s="86"/>
      <c r="E161" s="86"/>
      <c r="F161" s="86"/>
      <c r="G161" s="85"/>
      <c r="H161" s="85"/>
      <c r="I161" s="85"/>
      <c r="J161" s="85"/>
      <c r="K161" s="85"/>
      <c r="L161" s="85"/>
      <c r="M161" s="108"/>
    </row>
    <row r="162" spans="1:13">
      <c r="A162" s="84"/>
      <c r="B162" s="85"/>
      <c r="C162" s="84"/>
      <c r="D162" s="86"/>
      <c r="E162" s="86"/>
      <c r="F162" s="86"/>
      <c r="G162" s="85"/>
      <c r="H162" s="85"/>
      <c r="I162" s="85"/>
      <c r="J162" s="85"/>
      <c r="K162" s="85"/>
      <c r="L162" s="85"/>
      <c r="M162" s="108"/>
    </row>
    <row r="163" spans="1:13">
      <c r="A163" s="84"/>
      <c r="B163" s="85"/>
      <c r="C163" s="84"/>
      <c r="D163" s="86"/>
      <c r="E163" s="86"/>
      <c r="F163" s="86"/>
      <c r="G163" s="85"/>
      <c r="H163" s="85"/>
      <c r="I163" s="85"/>
      <c r="J163" s="85"/>
      <c r="K163" s="85"/>
      <c r="L163" s="85"/>
      <c r="M163" s="108"/>
    </row>
    <row r="164" spans="1:13">
      <c r="A164" s="84"/>
      <c r="B164" s="85"/>
      <c r="C164" s="84"/>
      <c r="D164" s="86"/>
      <c r="E164" s="86"/>
      <c r="F164" s="86"/>
      <c r="G164" s="85"/>
      <c r="H164" s="85"/>
      <c r="I164" s="85"/>
      <c r="J164" s="85"/>
      <c r="K164" s="85"/>
      <c r="L164" s="85"/>
      <c r="M164" s="108"/>
    </row>
    <row r="165" spans="1:13">
      <c r="A165" s="84"/>
      <c r="B165" s="85"/>
      <c r="C165" s="84"/>
      <c r="D165" s="86"/>
      <c r="E165" s="86"/>
      <c r="F165" s="86"/>
      <c r="G165" s="85"/>
      <c r="H165" s="85"/>
      <c r="I165" s="85"/>
      <c r="J165" s="85"/>
      <c r="K165" s="85"/>
      <c r="L165" s="85"/>
      <c r="M165" s="108"/>
    </row>
    <row r="166" spans="1:13">
      <c r="A166" s="84"/>
      <c r="B166" s="85"/>
      <c r="C166" s="84"/>
      <c r="D166" s="86"/>
      <c r="E166" s="86"/>
      <c r="F166" s="86"/>
      <c r="G166" s="85"/>
      <c r="H166" s="85"/>
      <c r="I166" s="85"/>
      <c r="J166" s="85"/>
      <c r="K166" s="85"/>
      <c r="L166" s="85"/>
      <c r="M166" s="108"/>
    </row>
  </sheetData>
  <mergeCells count="31">
    <mergeCell ref="F7:G7"/>
    <mergeCell ref="F8:G8"/>
    <mergeCell ref="F9:G9"/>
    <mergeCell ref="F2:G2"/>
    <mergeCell ref="F3:G3"/>
    <mergeCell ref="F4:G4"/>
    <mergeCell ref="F5:G5"/>
    <mergeCell ref="F6:G6"/>
    <mergeCell ref="K12:L13"/>
    <mergeCell ref="F13:G13"/>
    <mergeCell ref="A15:A16"/>
    <mergeCell ref="B15:B16"/>
    <mergeCell ref="C15:F15"/>
    <mergeCell ref="G15:H15"/>
    <mergeCell ref="I15:J15"/>
    <mergeCell ref="K15:L15"/>
    <mergeCell ref="A10:A13"/>
    <mergeCell ref="B10:B13"/>
    <mergeCell ref="F10:G10"/>
    <mergeCell ref="F11:G11"/>
    <mergeCell ref="F12:G12"/>
    <mergeCell ref="K4:L11"/>
    <mergeCell ref="A1:B9"/>
    <mergeCell ref="C1:J1"/>
    <mergeCell ref="B122:L122"/>
    <mergeCell ref="B69:C69"/>
    <mergeCell ref="B84:C84"/>
    <mergeCell ref="B86:C86"/>
    <mergeCell ref="B88:C88"/>
    <mergeCell ref="B90:C90"/>
    <mergeCell ref="C119:L119"/>
  </mergeCells>
  <conditionalFormatting sqref="F11:G11">
    <cfRule type="expression" dxfId="167" priority="23">
      <formula>$F$11&gt;0</formula>
    </cfRule>
  </conditionalFormatting>
  <conditionalFormatting sqref="F12:G12">
    <cfRule type="expression" dxfId="166" priority="22">
      <formula>$F$12&gt;0</formula>
    </cfRule>
  </conditionalFormatting>
  <conditionalFormatting sqref="F13:G13">
    <cfRule type="expression" dxfId="165" priority="21">
      <formula>$F$13&gt;0</formula>
    </cfRule>
  </conditionalFormatting>
  <conditionalFormatting sqref="J3">
    <cfRule type="expression" dxfId="164" priority="20">
      <formula>$J$3&gt;0</formula>
    </cfRule>
  </conditionalFormatting>
  <conditionalFormatting sqref="J4">
    <cfRule type="expression" dxfId="163" priority="19">
      <formula>$J$4&gt;0</formula>
    </cfRule>
  </conditionalFormatting>
  <conditionalFormatting sqref="J5">
    <cfRule type="expression" dxfId="162" priority="18">
      <formula>$J$5&gt;0</formula>
    </cfRule>
  </conditionalFormatting>
  <conditionalFormatting sqref="J6">
    <cfRule type="expression" dxfId="161" priority="17">
      <formula>$J$6&gt;0</formula>
    </cfRule>
  </conditionalFormatting>
  <conditionalFormatting sqref="J7">
    <cfRule type="expression" dxfId="160" priority="16">
      <formula>$J$7&gt;0</formula>
    </cfRule>
  </conditionalFormatting>
  <conditionalFormatting sqref="J8">
    <cfRule type="expression" dxfId="159" priority="15">
      <formula>$J$8&gt;0</formula>
    </cfRule>
  </conditionalFormatting>
  <conditionalFormatting sqref="J9">
    <cfRule type="expression" dxfId="158" priority="14">
      <formula>$J$9&gt;0</formula>
    </cfRule>
  </conditionalFormatting>
  <conditionalFormatting sqref="J10">
    <cfRule type="expression" dxfId="157" priority="12">
      <formula>$J$10&gt;0</formula>
    </cfRule>
    <cfRule type="expression" dxfId="156" priority="13">
      <formula>$J$10&gt;0</formula>
    </cfRule>
  </conditionalFormatting>
  <conditionalFormatting sqref="J11">
    <cfRule type="expression" dxfId="155" priority="11">
      <formula>$J$11&gt;0</formula>
    </cfRule>
  </conditionalFormatting>
  <conditionalFormatting sqref="J12">
    <cfRule type="expression" dxfId="154" priority="10">
      <formula>$J$12&gt;0</formula>
    </cfRule>
  </conditionalFormatting>
  <conditionalFormatting sqref="F4:G4">
    <cfRule type="expression" dxfId="153" priority="9">
      <formula>$F$4=" "</formula>
    </cfRule>
  </conditionalFormatting>
  <conditionalFormatting sqref="F6:G6">
    <cfRule type="expression" dxfId="152" priority="8">
      <formula>$F$6=" "</formula>
    </cfRule>
  </conditionalFormatting>
  <conditionalFormatting sqref="I17:I19">
    <cfRule type="expression" dxfId="151" priority="7">
      <formula>I17&gt;G17</formula>
    </cfRule>
  </conditionalFormatting>
  <conditionalFormatting sqref="I61 I63">
    <cfRule type="expression" dxfId="150" priority="6">
      <formula>I61&gt;G61</formula>
    </cfRule>
  </conditionalFormatting>
  <conditionalFormatting sqref="I71 I80">
    <cfRule type="expression" dxfId="149" priority="5">
      <formula>I71&gt;G71</formula>
    </cfRule>
  </conditionalFormatting>
  <conditionalFormatting sqref="I20:I60 I72:I78">
    <cfRule type="expression" dxfId="148" priority="4">
      <formula>$K20&gt;$G20</formula>
    </cfRule>
  </conditionalFormatting>
  <conditionalFormatting sqref="I62">
    <cfRule type="expression" dxfId="147" priority="3">
      <formula>I62&gt;G62</formula>
    </cfRule>
  </conditionalFormatting>
  <conditionalFormatting sqref="I79">
    <cfRule type="expression" dxfId="146" priority="2">
      <formula>I79&gt;G79</formula>
    </cfRule>
  </conditionalFormatting>
  <conditionalFormatting sqref="F113">
    <cfRule type="expression" dxfId="145" priority="1">
      <formula>$F$113&lt;&gt;$L$91</formula>
    </cfRule>
  </conditionalFormatting>
  <printOptions horizontalCentered="1"/>
  <pageMargins left="0.43307086614173229" right="0.43307086614173229" top="0.59055118110236227" bottom="0.59055118110236227" header="0.31496062992125984" footer="0.31496062992125984"/>
  <pageSetup scale="64" orientation="landscape" r:id="rId1"/>
  <headerFooter>
    <oddFooter>&amp;C&amp;"-,Cursiva"&amp;10&amp;A&amp;R&amp;"-,Cursiva"&amp;10Página &amp;P de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O140"/>
  <sheetViews>
    <sheetView zoomScaleNormal="100" workbookViewId="0">
      <selection activeCell="R33" sqref="R33"/>
    </sheetView>
  </sheetViews>
  <sheetFormatPr baseColWidth="10" defaultColWidth="13.7109375" defaultRowHeight="12"/>
  <cols>
    <col min="1" max="1" width="7.7109375" style="81" customWidth="1"/>
    <col min="2" max="2" width="54.5703125" style="82" customWidth="1"/>
    <col min="3" max="3" width="5.7109375" style="81" customWidth="1"/>
    <col min="4" max="4" width="9.140625" style="83" customWidth="1"/>
    <col min="5" max="5" width="14.7109375" style="83" customWidth="1"/>
    <col min="6" max="6" width="15.85546875" style="83" customWidth="1"/>
    <col min="7" max="7" width="3.42578125" style="83" bestFit="1" customWidth="1"/>
    <col min="8" max="8" width="13.42578125" style="82" customWidth="1"/>
    <col min="9" max="9" width="14.7109375" style="82" customWidth="1"/>
    <col min="10" max="10" width="3.42578125" style="82" bestFit="1" customWidth="1"/>
    <col min="11" max="11" width="13.28515625" style="82" customWidth="1"/>
    <col min="12" max="12" width="21.28515625" style="82" customWidth="1"/>
    <col min="13" max="14" width="15.28515625" style="82" customWidth="1"/>
    <col min="15" max="15" width="4.7109375" style="82" customWidth="1"/>
    <col min="16" max="16384" width="13.7109375" style="82"/>
  </cols>
  <sheetData>
    <row r="1" spans="1:14" ht="14.45" customHeight="1">
      <c r="A1" s="1049" t="s">
        <v>246</v>
      </c>
      <c r="B1" s="1050"/>
      <c r="C1" s="1051" t="str">
        <f>"MUNICIPIO DE "&amp;DATOS!E8</f>
        <v xml:space="preserve">MUNICIPIO DE </v>
      </c>
      <c r="D1" s="1052"/>
      <c r="E1" s="1052"/>
      <c r="F1" s="1052"/>
      <c r="G1" s="1052"/>
      <c r="H1" s="1052"/>
      <c r="I1" s="1052"/>
      <c r="J1" s="1052"/>
      <c r="K1" s="1052"/>
      <c r="L1" s="1052"/>
      <c r="M1" s="129" t="s">
        <v>90</v>
      </c>
      <c r="N1" s="130" t="s">
        <v>1130</v>
      </c>
    </row>
    <row r="2" spans="1:14" ht="12" customHeight="1">
      <c r="A2" s="1050"/>
      <c r="B2" s="1050"/>
      <c r="C2" s="103" t="str">
        <f>DATOS!E10&amp;" No.:"</f>
        <v xml:space="preserve"> No.:</v>
      </c>
      <c r="D2" s="104"/>
      <c r="E2" s="105"/>
      <c r="F2" s="1053" t="str">
        <f>DATOS!E12&amp;" "&amp;DATOS!G12&amp;" "&amp;DATOS!I12</f>
        <v xml:space="preserve">  </v>
      </c>
      <c r="G2" s="1054"/>
      <c r="H2" s="1055"/>
      <c r="I2" s="103" t="s">
        <v>184</v>
      </c>
      <c r="J2" s="104"/>
      <c r="K2" s="105"/>
      <c r="L2" s="109">
        <f>DATOS!E52</f>
        <v>0</v>
      </c>
      <c r="M2" s="129" t="s">
        <v>89</v>
      </c>
      <c r="N2" s="130" t="s">
        <v>248</v>
      </c>
    </row>
    <row r="3" spans="1:14" ht="12" customHeight="1">
      <c r="A3" s="1050"/>
      <c r="B3" s="1050"/>
      <c r="C3" s="98" t="s">
        <v>4</v>
      </c>
      <c r="D3" s="99"/>
      <c r="E3" s="100"/>
      <c r="F3" s="1053">
        <f>DATOS!G16</f>
        <v>0</v>
      </c>
      <c r="G3" s="1054"/>
      <c r="H3" s="1055"/>
      <c r="I3" s="103" t="s">
        <v>236</v>
      </c>
      <c r="J3" s="104"/>
      <c r="K3" s="105"/>
      <c r="L3" s="110">
        <f>DATOS!E72</f>
        <v>42428</v>
      </c>
      <c r="M3" s="129" t="s">
        <v>247</v>
      </c>
      <c r="N3" s="395">
        <v>42705</v>
      </c>
    </row>
    <row r="4" spans="1:14" ht="12" customHeight="1">
      <c r="A4" s="1050"/>
      <c r="B4" s="1050"/>
      <c r="C4" s="98" t="s">
        <v>5</v>
      </c>
      <c r="D4" s="99"/>
      <c r="E4" s="100"/>
      <c r="F4" s="1053" t="str">
        <f>IF(DATOS!E16="Persona Jurídica",DATOS!G20," ")</f>
        <v xml:space="preserve"> </v>
      </c>
      <c r="G4" s="1054"/>
      <c r="H4" s="1055"/>
      <c r="I4" s="103" t="s">
        <v>241</v>
      </c>
      <c r="J4" s="104"/>
      <c r="K4" s="105"/>
      <c r="L4" s="106">
        <f>DATOS!E74</f>
        <v>42459</v>
      </c>
      <c r="M4" s="1062" t="s">
        <v>332</v>
      </c>
      <c r="N4" s="1063"/>
    </row>
    <row r="5" spans="1:14" ht="12" customHeight="1">
      <c r="A5" s="1050"/>
      <c r="B5" s="1050"/>
      <c r="C5" s="98" t="s">
        <v>105</v>
      </c>
      <c r="D5" s="99"/>
      <c r="E5" s="100"/>
      <c r="F5" s="1053">
        <f>LOOKUP(C5,DATOS!C24:C30,DATOS!G24:G30)</f>
        <v>0</v>
      </c>
      <c r="G5" s="1054"/>
      <c r="H5" s="1055"/>
      <c r="I5" s="103" t="s">
        <v>237</v>
      </c>
      <c r="J5" s="104"/>
      <c r="K5" s="105"/>
      <c r="L5" s="106">
        <f>DATOS!E78</f>
        <v>42491</v>
      </c>
      <c r="M5" s="1062"/>
      <c r="N5" s="1063"/>
    </row>
    <row r="6" spans="1:14" ht="12" customHeight="1">
      <c r="A6" s="1050"/>
      <c r="B6" s="1050"/>
      <c r="C6" s="98" t="s">
        <v>5</v>
      </c>
      <c r="D6" s="99"/>
      <c r="E6" s="100"/>
      <c r="F6" s="1053" t="str">
        <f>IF(DATOS!E24="Persona Jurídica",DATOS!G28," ")</f>
        <v xml:space="preserve"> </v>
      </c>
      <c r="G6" s="1054"/>
      <c r="H6" s="1055"/>
      <c r="I6" s="103" t="s">
        <v>242</v>
      </c>
      <c r="J6" s="104"/>
      <c r="K6" s="105"/>
      <c r="L6" s="106">
        <f>DATOS!E80</f>
        <v>42916</v>
      </c>
      <c r="M6" s="1062"/>
      <c r="N6" s="1063"/>
    </row>
    <row r="7" spans="1:14" ht="12" customHeight="1">
      <c r="A7" s="1050"/>
      <c r="B7" s="1050"/>
      <c r="C7" s="98" t="s">
        <v>185</v>
      </c>
      <c r="D7" s="99"/>
      <c r="E7" s="100"/>
      <c r="F7" s="1041">
        <f>DATOS!E46</f>
        <v>0</v>
      </c>
      <c r="G7" s="1042"/>
      <c r="H7" s="1043"/>
      <c r="I7" s="103" t="s">
        <v>238</v>
      </c>
      <c r="J7" s="104"/>
      <c r="K7" s="105"/>
      <c r="L7" s="106">
        <f>DATOS!E84</f>
        <v>42541</v>
      </c>
      <c r="M7" s="1062"/>
      <c r="N7" s="1063"/>
    </row>
    <row r="8" spans="1:14" ht="12" customHeight="1">
      <c r="A8" s="1050"/>
      <c r="B8" s="1050"/>
      <c r="C8" s="98" t="s">
        <v>77</v>
      </c>
      <c r="D8" s="99"/>
      <c r="E8" s="100"/>
      <c r="F8" s="1041">
        <f>DATOS!E60</f>
        <v>30000000</v>
      </c>
      <c r="G8" s="1042"/>
      <c r="H8" s="1043"/>
      <c r="I8" s="103" t="s">
        <v>243</v>
      </c>
      <c r="J8" s="104"/>
      <c r="K8" s="105"/>
      <c r="L8" s="106">
        <f>DATOS!E86</f>
        <v>42546</v>
      </c>
      <c r="M8" s="1062"/>
      <c r="N8" s="1063"/>
    </row>
    <row r="9" spans="1:14" ht="12" customHeight="1">
      <c r="A9" s="1050"/>
      <c r="B9" s="1050"/>
      <c r="C9" s="98" t="s">
        <v>78</v>
      </c>
      <c r="D9" s="99"/>
      <c r="E9" s="100"/>
      <c r="F9" s="1041">
        <f>DATOS!E62</f>
        <v>0</v>
      </c>
      <c r="G9" s="1042"/>
      <c r="H9" s="1043"/>
      <c r="I9" s="103" t="s">
        <v>239</v>
      </c>
      <c r="J9" s="104"/>
      <c r="K9" s="105"/>
      <c r="L9" s="106">
        <f>DATOS!E90</f>
        <v>0</v>
      </c>
      <c r="M9" s="1062"/>
      <c r="N9" s="1063"/>
    </row>
    <row r="10" spans="1:14" ht="12" customHeight="1">
      <c r="A10" s="1044" t="s">
        <v>8</v>
      </c>
      <c r="B10" s="1045">
        <f>DATOS!E38</f>
        <v>0</v>
      </c>
      <c r="C10" s="98" t="s">
        <v>186</v>
      </c>
      <c r="D10" s="99"/>
      <c r="E10" s="100"/>
      <c r="F10" s="1041">
        <f>F7+F8+F9</f>
        <v>30000000</v>
      </c>
      <c r="G10" s="1042"/>
      <c r="H10" s="1043"/>
      <c r="I10" s="103" t="s">
        <v>244</v>
      </c>
      <c r="J10" s="104"/>
      <c r="K10" s="105"/>
      <c r="L10" s="106">
        <f>DATOS!E92</f>
        <v>0</v>
      </c>
      <c r="M10" s="1062"/>
      <c r="N10" s="1063"/>
    </row>
    <row r="11" spans="1:14" ht="12" customHeight="1">
      <c r="A11" s="1044"/>
      <c r="B11" s="1045"/>
      <c r="C11" s="98" t="s">
        <v>233</v>
      </c>
      <c r="D11" s="99"/>
      <c r="E11" s="100"/>
      <c r="F11" s="1046">
        <f>DATOS!E174</f>
        <v>42602</v>
      </c>
      <c r="G11" s="1047"/>
      <c r="H11" s="1048"/>
      <c r="I11" s="103" t="s">
        <v>240</v>
      </c>
      <c r="J11" s="104"/>
      <c r="K11" s="105"/>
      <c r="L11" s="106"/>
      <c r="M11" s="1064"/>
      <c r="N11" s="1065"/>
    </row>
    <row r="12" spans="1:14" ht="12" customHeight="1">
      <c r="A12" s="1044"/>
      <c r="B12" s="1045"/>
      <c r="C12" s="98" t="s">
        <v>234</v>
      </c>
      <c r="D12" s="99"/>
      <c r="E12" s="100"/>
      <c r="F12" s="1046">
        <f>DATOS!E176</f>
        <v>0</v>
      </c>
      <c r="G12" s="1047"/>
      <c r="H12" s="1048"/>
      <c r="I12" s="103" t="s">
        <v>245</v>
      </c>
      <c r="J12" s="104"/>
      <c r="K12" s="105"/>
      <c r="L12" s="106"/>
      <c r="M12" s="1073">
        <f>DATOS!E138</f>
        <v>0</v>
      </c>
      <c r="N12" s="1074"/>
    </row>
    <row r="13" spans="1:14" ht="12" customHeight="1">
      <c r="A13" s="1044"/>
      <c r="B13" s="1045"/>
      <c r="C13" s="98" t="s">
        <v>235</v>
      </c>
      <c r="D13" s="99"/>
      <c r="E13" s="100"/>
      <c r="F13" s="1046">
        <f>DATOS!E178</f>
        <v>0</v>
      </c>
      <c r="G13" s="1047"/>
      <c r="H13" s="1048"/>
      <c r="I13" s="103" t="s">
        <v>72</v>
      </c>
      <c r="J13" s="104"/>
      <c r="K13" s="105"/>
      <c r="L13" s="107">
        <f>DATOS!E132</f>
        <v>614</v>
      </c>
      <c r="M13" s="1075"/>
      <c r="N13" s="1076"/>
    </row>
    <row r="14" spans="1:14">
      <c r="A14" s="84"/>
      <c r="B14" s="85"/>
      <c r="C14" s="84"/>
      <c r="D14" s="86"/>
      <c r="E14" s="86"/>
      <c r="F14" s="86"/>
      <c r="G14" s="86"/>
      <c r="H14" s="85"/>
      <c r="I14" s="85"/>
      <c r="J14" s="85"/>
      <c r="K14" s="85"/>
      <c r="L14" s="85"/>
      <c r="M14" s="85"/>
      <c r="N14" s="85"/>
    </row>
    <row r="15" spans="1:14" ht="14.45" customHeight="1">
      <c r="A15" s="1040" t="s">
        <v>181</v>
      </c>
      <c r="B15" s="1040" t="s">
        <v>115</v>
      </c>
      <c r="C15" s="1077" t="s">
        <v>182</v>
      </c>
      <c r="D15" s="1078"/>
      <c r="E15" s="1078"/>
      <c r="F15" s="1079"/>
      <c r="G15" s="1058" t="s">
        <v>314</v>
      </c>
      <c r="H15" s="1059"/>
      <c r="I15" s="1059"/>
      <c r="J15" s="1059"/>
      <c r="K15" s="1059"/>
      <c r="L15" s="1060"/>
      <c r="M15" s="1067" t="s">
        <v>187</v>
      </c>
      <c r="N15" s="1068"/>
    </row>
    <row r="16" spans="1:14" ht="14.45" customHeight="1">
      <c r="A16" s="1040"/>
      <c r="B16" s="1040"/>
      <c r="C16" s="1080"/>
      <c r="D16" s="1081"/>
      <c r="E16" s="1081"/>
      <c r="F16" s="1082"/>
      <c r="G16" s="1152" t="s">
        <v>315</v>
      </c>
      <c r="H16" s="1153"/>
      <c r="I16" s="1154"/>
      <c r="J16" s="1056" t="s">
        <v>316</v>
      </c>
      <c r="K16" s="1061"/>
      <c r="L16" s="1057"/>
      <c r="M16" s="1069"/>
      <c r="N16" s="1070"/>
    </row>
    <row r="17" spans="1:15">
      <c r="A17" s="1040"/>
      <c r="B17" s="1040"/>
      <c r="C17" s="172" t="s">
        <v>164</v>
      </c>
      <c r="D17" s="96" t="s">
        <v>118</v>
      </c>
      <c r="E17" s="96" t="s">
        <v>180</v>
      </c>
      <c r="F17" s="96" t="s">
        <v>117</v>
      </c>
      <c r="G17" s="474" t="s">
        <v>432</v>
      </c>
      <c r="H17" s="149" t="s">
        <v>317</v>
      </c>
      <c r="I17" s="149" t="s">
        <v>117</v>
      </c>
      <c r="J17" s="474" t="s">
        <v>432</v>
      </c>
      <c r="K17" s="150" t="s">
        <v>317</v>
      </c>
      <c r="L17" s="150" t="s">
        <v>117</v>
      </c>
      <c r="M17" s="173" t="s">
        <v>317</v>
      </c>
      <c r="N17" s="173" t="s">
        <v>117</v>
      </c>
    </row>
    <row r="18" spans="1:15">
      <c r="A18" s="87" t="str">
        <f>IF(LOOKUP(O18,PPTO!$J$8:$J$269,PPTO!A$8:A$269)=0," ",LOOKUP(O18,PPTO!$J$8:$J$269,PPTO!A$8:A$269))</f>
        <v xml:space="preserve"> </v>
      </c>
      <c r="B18" s="88" t="str">
        <f>IF(LOOKUP(O18,PPTO!$J$8:J$269,PPTO!B$8:B$269)=0," ",LOOKUP(O18,PPTO!$J$8:J$269,PPTO!B$8:B$269))</f>
        <v xml:space="preserve"> </v>
      </c>
      <c r="C18" s="89" t="str">
        <f>IF(LOOKUP(O18,PPTO!$J$8:$J$269,PPTO!D$8:D$269)=0," ",LOOKUP(O18,PPTO!$J$8:$J$269,PPTO!D$8:D$269))</f>
        <v xml:space="preserve"> </v>
      </c>
      <c r="D18" s="90" t="str">
        <f>IF(LOOKUP(O18,PPTO!$J$8:$J$269,PPTO!D$8:D$269)=0," ",LOOKUP(O18,PPTO!$J$8:$J$269,PPTO!D$8:D$269))</f>
        <v xml:space="preserve"> </v>
      </c>
      <c r="E18" s="90" t="str">
        <f>IF(LOOKUP(O18,PPTO!$J$8:$J$269,PPTO!E$8:E$269)=0," ",LOOKUP(O18,PPTO!$J$8:$J$269,PPTO!E$8:E$269))</f>
        <v xml:space="preserve"> </v>
      </c>
      <c r="F18" s="90" t="str">
        <f>IF(LOOKUP(O18,PPTO!$J$8:$J$269,PPTO!F$8:F$269)=0," ",LOOKUP(O18,PPTO!$J$8:$J$269,PPTO!F$8:F$269))</f>
        <v xml:space="preserve"> </v>
      </c>
      <c r="G18" s="90"/>
      <c r="H18" s="102"/>
      <c r="I18" s="102"/>
      <c r="J18" s="102"/>
      <c r="K18" s="102"/>
      <c r="L18" s="102"/>
      <c r="M18" s="175"/>
      <c r="N18" s="102"/>
      <c r="O18" s="108">
        <v>1</v>
      </c>
    </row>
    <row r="19" spans="1:15">
      <c r="A19" s="87" t="str">
        <f>IF(LOOKUP(O19,PPTO!$J$8:$J$269,PPTO!A$8:A$269)=0," ",LOOKUP(O19,PPTO!$J$8:$J$269,PPTO!A$8:A$269))</f>
        <v xml:space="preserve"> </v>
      </c>
      <c r="B19" s="88" t="str">
        <f>IF(LOOKUP(O19,PPTO!$J$8:J$269,PPTO!B$8:B$269)=0," ",LOOKUP(O19,PPTO!$J$8:J$269,PPTO!B$8:B$269))</f>
        <v>PRESUPUESTO OBRA CIVIL</v>
      </c>
      <c r="C19" s="89" t="str">
        <f>IF(LOOKUP(O19,PPTO!$J$8:$J$269,PPTO!D$8:D$269)=0," ",LOOKUP(O19,PPTO!$J$8:$J$269,PPTO!D$8:D$269))</f>
        <v xml:space="preserve"> </v>
      </c>
      <c r="D19" s="90" t="str">
        <f>IF(LOOKUP(O19,PPTO!$J$8:$J$269,PPTO!D$8:D$269)=0," ",LOOKUP(O19,PPTO!$J$8:$J$269,PPTO!D$8:D$269))</f>
        <v xml:space="preserve"> </v>
      </c>
      <c r="E19" s="90" t="str">
        <f>IF(LOOKUP(O19,PPTO!$J$8:$J$269,PPTO!E$8:E$269)=0," ",LOOKUP(O19,PPTO!$J$8:$J$269,PPTO!E$8:E$269))</f>
        <v xml:space="preserve"> </v>
      </c>
      <c r="F19" s="90" t="str">
        <f>IF(LOOKUP(O19,PPTO!$J$8:$J$269,PPTO!H$8:H$269)=0," ",LOOKUP(O19,PPTO!$J$8:$J$269,PPTO!H$8:H$269))</f>
        <v xml:space="preserve"> </v>
      </c>
      <c r="G19" s="90"/>
      <c r="H19" s="102"/>
      <c r="I19" s="102"/>
      <c r="J19" s="102"/>
      <c r="K19" s="102"/>
      <c r="L19" s="102"/>
      <c r="M19" s="175"/>
      <c r="N19" s="102"/>
      <c r="O19" s="108">
        <f>O18+1</f>
        <v>2</v>
      </c>
    </row>
    <row r="20" spans="1:15">
      <c r="A20" s="92">
        <f>IF(LOOKUP(O20,PPTO!$J$8:$J$269,PPTO!A$8:A$269)=0," ",LOOKUP(O20,PPTO!$J$8:$J$269,PPTO!A$8:A$269))</f>
        <v>1</v>
      </c>
      <c r="B20" s="88" t="str">
        <f>IF(LOOKUP(O20,PPTO!$J$8:J$269,PPTO!B$8:B$269)=0," ",LOOKUP(O20,PPTO!$J$8:J$269,PPTO!B$8:B$269))</f>
        <v>PRELIMINARES</v>
      </c>
      <c r="C20" s="89" t="str">
        <f>IF(LOOKUP(O20,PPTO!$J$8:$J$269,PPTO!D$8:D$269)=0," ",LOOKUP(O20,PPTO!$J$8:$J$269,PPTO!D$8:D$269))</f>
        <v xml:space="preserve"> </v>
      </c>
      <c r="D20" s="90" t="str">
        <f>IF(LOOKUP(O20,PPTO!$J$8:$J$269,PPTO!E$8:E$269)=0," ",LOOKUP(O20,PPTO!$J$8:$J$269,PPTO!E$8:E$269))</f>
        <v xml:space="preserve"> </v>
      </c>
      <c r="E20" s="90" t="str">
        <f>IF(LOOKUP(O20,PPTO!$J$8:$J$269,PPTO!F$8:F$269)=0," ",LOOKUP(O20,PPTO!$J$8:$J$269,PPTO!F$8:F$269))</f>
        <v xml:space="preserve"> </v>
      </c>
      <c r="F20" s="90" t="str">
        <f>IF(LOOKUP(O20,PPTO!$J$8:$J$269,PPTO!H$8:H$269)=0," ",LOOKUP(O20,PPTO!$J$8:$J$269,PPTO!H$8:H$269))</f>
        <v xml:space="preserve"> </v>
      </c>
      <c r="G20" s="90"/>
      <c r="H20" s="102"/>
      <c r="I20" s="102"/>
      <c r="J20" s="102"/>
      <c r="K20" s="102"/>
      <c r="L20" s="102"/>
      <c r="M20" s="175"/>
      <c r="N20" s="102"/>
      <c r="O20" s="108">
        <f t="shared" ref="O20:O61" si="0">O19+1</f>
        <v>3</v>
      </c>
    </row>
    <row r="21" spans="1:15">
      <c r="A21" s="87" t="str">
        <f>IF(LOOKUP(O21,PPTO!$J$8:$J$269,PPTO!A$8:A$269)=0," ",LOOKUP(O21,PPTO!$J$8:$J$269,PPTO!A$8:A$269))</f>
        <v>1.02</v>
      </c>
      <c r="B21" s="91" t="str">
        <f>IF(LOOKUP(O21,PPTO!$J$8:J$269,PPTO!B$8:B$269)=0," ",LOOKUP(O21,PPTO!$J$8:J$269,PPTO!B$8:B$269))</f>
        <v xml:space="preserve"> </v>
      </c>
      <c r="C21" s="89" t="str">
        <f>IF(LOOKUP(O21,PPTO!$J$8:$J$269,PPTO!D$8:D$269)=0," ",LOOKUP(O21,PPTO!$J$8:$J$269,PPTO!D$8:D$269))</f>
        <v>ML</v>
      </c>
      <c r="D21" s="90" t="str">
        <f>IF(LOOKUP(O21,PPTO!$J$8:$J$269,PPTO!E$8:E$269)=0," ",LOOKUP(O21,PPTO!$J$8:$J$269,PPTO!E$8:E$269))</f>
        <v xml:space="preserve"> </v>
      </c>
      <c r="E21" s="90" t="str">
        <f>IF(LOOKUP(O21,PPTO!$J$8:$J$269,PPTO!F$8:F$269)=0," ",LOOKUP(O21,PPTO!$J$8:$J$269,PPTO!F$8:F$269))</f>
        <v xml:space="preserve"> </v>
      </c>
      <c r="F21" s="90" t="str">
        <f>IF(LOOKUP(O21,PPTO!$J$8:$J$269,PPTO!H$8:H$269)=0," ",LOOKUP(O21,PPTO!$J$8:$J$269,PPTO!H$8:H$269))</f>
        <v xml:space="preserve"> </v>
      </c>
      <c r="G21" s="476" t="str">
        <f>IF(H21&gt;=0,"+","-")</f>
        <v>+</v>
      </c>
      <c r="H21" s="102">
        <f>'ACTA MODIFICACIÓN No.1'!K21</f>
        <v>3</v>
      </c>
      <c r="I21" s="102" t="e">
        <f>ROUND(H21*E21,0)</f>
        <v>#VALUE!</v>
      </c>
      <c r="J21" s="477" t="e">
        <f>IF(K21&gt;=0,"+","-")</f>
        <v>#VALUE!</v>
      </c>
      <c r="K21" s="102" t="e">
        <f>M21-H21-D21</f>
        <v>#VALUE!</v>
      </c>
      <c r="L21" s="102" t="e">
        <f>ROUND(K21*E21,0)</f>
        <v>#VALUE!</v>
      </c>
      <c r="M21" s="175">
        <v>15000</v>
      </c>
      <c r="N21" s="102" t="e">
        <f>ROUND(M21*E21,0)</f>
        <v>#VALUE!</v>
      </c>
      <c r="O21" s="108">
        <f t="shared" si="0"/>
        <v>4</v>
      </c>
    </row>
    <row r="22" spans="1:15">
      <c r="A22" s="87">
        <f>IF(LOOKUP(O22,PPTO!$J$8:$J$269,PPTO!A$8:A$269)=0," ",LOOKUP(O22,PPTO!$J$8:$J$269,PPTO!A$8:A$269))</f>
        <v>2</v>
      </c>
      <c r="B22" s="91" t="str">
        <f>IF(LOOKUP(O22,PPTO!$J$8:J$269,PPTO!B$8:B$269)=0," ",LOOKUP(O22,PPTO!$J$8:J$269,PPTO!B$8:B$269))</f>
        <v>DEMOLICION Y ROTURAS</v>
      </c>
      <c r="C22" s="89" t="str">
        <f>IF(LOOKUP(O22,PPTO!$J$8:$J$269,PPTO!D$8:D$269)=0," ",LOOKUP(O22,PPTO!$J$8:$J$269,PPTO!D$8:D$269))</f>
        <v xml:space="preserve"> </v>
      </c>
      <c r="D22" s="90" t="str">
        <f>IF(LOOKUP(O22,PPTO!$J$8:$J$269,PPTO!E$8:E$269)=0," ",LOOKUP(O22,PPTO!$J$8:$J$269,PPTO!E$8:E$269))</f>
        <v xml:space="preserve"> </v>
      </c>
      <c r="E22" s="90" t="str">
        <f>IF(LOOKUP(O22,PPTO!$J$8:$J$269,PPTO!F$8:F$269)=0," ",LOOKUP(O22,PPTO!$J$8:$J$269,PPTO!F$8:F$269))</f>
        <v xml:space="preserve"> </v>
      </c>
      <c r="F22" s="90" t="str">
        <f>IF(LOOKUP(O22,PPTO!$J$8:$J$269,PPTO!H$8:H$269)=0," ",LOOKUP(O22,PPTO!$J$8:$J$269,PPTO!H$8:H$269))</f>
        <v xml:space="preserve"> </v>
      </c>
      <c r="G22" s="476" t="str">
        <f t="shared" ref="G22:G61" si="1">IF(H22&gt;=0,"+","-")</f>
        <v>+</v>
      </c>
      <c r="H22" s="102">
        <f>'ACTA MODIFICACIÓN No.1'!K22</f>
        <v>0</v>
      </c>
      <c r="I22" s="102"/>
      <c r="J22" s="477" t="str">
        <f t="shared" ref="J22:J61" si="2">IF(K22&gt;=0,"+","-")</f>
        <v>+</v>
      </c>
      <c r="K22" s="102"/>
      <c r="L22" s="102"/>
      <c r="M22" s="175"/>
      <c r="N22" s="102"/>
      <c r="O22" s="108">
        <f t="shared" si="0"/>
        <v>5</v>
      </c>
    </row>
    <row r="23" spans="1:15">
      <c r="A23" s="87" t="str">
        <f>IF(LOOKUP(O23,PPTO!$J$8:$J$269,PPTO!A$8:A$269)=0," ",LOOKUP(O23,PPTO!$J$8:$J$269,PPTO!A$8:A$269))</f>
        <v>2.01</v>
      </c>
      <c r="B23" s="91" t="str">
        <f>IF(LOOKUP(O23,PPTO!$J$8:J$269,PPTO!B$8:B$269)=0," ",LOOKUP(O23,PPTO!$J$8:J$269,PPTO!B$8:B$269))</f>
        <v xml:space="preserve"> </v>
      </c>
      <c r="C23" s="89" t="str">
        <f>IF(LOOKUP(O23,PPTO!$J$8:$J$269,PPTO!D$8:D$269)=0," ",LOOKUP(O23,PPTO!$J$8:$J$269,PPTO!D$8:D$269))</f>
        <v>ML</v>
      </c>
      <c r="D23" s="90" t="str">
        <f>IF(LOOKUP(O23,PPTO!$J$8:$J$269,PPTO!E$8:E$269)=0," ",LOOKUP(O23,PPTO!$J$8:$J$269,PPTO!E$8:E$269))</f>
        <v xml:space="preserve"> </v>
      </c>
      <c r="E23" s="90" t="str">
        <f>IF(LOOKUP(O23,PPTO!$J$8:$J$269,PPTO!F$8:F$269)=0," ",LOOKUP(O23,PPTO!$J$8:$J$269,PPTO!F$8:F$269))</f>
        <v xml:space="preserve"> </v>
      </c>
      <c r="F23" s="90" t="str">
        <f>IF(LOOKUP(O23,PPTO!$J$8:$J$269,PPTO!H$8:H$269)=0," ",LOOKUP(O23,PPTO!$J$8:$J$269,PPTO!H$8:H$269))</f>
        <v xml:space="preserve"> </v>
      </c>
      <c r="G23" s="476" t="e">
        <f t="shared" si="1"/>
        <v>#VALUE!</v>
      </c>
      <c r="H23" s="102" t="e">
        <f>'ACTA MODIFICACIÓN No.1'!K23</f>
        <v>#VALUE!</v>
      </c>
      <c r="I23" s="102" t="e">
        <f t="shared" ref="I23:I61" si="3">ROUND(H23*E23,0)</f>
        <v>#VALUE!</v>
      </c>
      <c r="J23" s="477" t="e">
        <f t="shared" si="2"/>
        <v>#VALUE!</v>
      </c>
      <c r="K23" s="102" t="e">
        <f t="shared" ref="K23:K61" si="4">M23-H23-D23</f>
        <v>#VALUE!</v>
      </c>
      <c r="L23" s="102" t="e">
        <f t="shared" ref="L23:L61" si="5">ROUND(K23*E23,0)</f>
        <v>#VALUE!</v>
      </c>
      <c r="M23" s="175">
        <v>14696</v>
      </c>
      <c r="N23" s="102" t="e">
        <f t="shared" ref="N23:N61" si="6">ROUND(M23*E23,0)</f>
        <v>#VALUE!</v>
      </c>
      <c r="O23" s="108">
        <f t="shared" si="0"/>
        <v>6</v>
      </c>
    </row>
    <row r="24" spans="1:15">
      <c r="A24" s="87" t="str">
        <f>IF(LOOKUP(O24,PPTO!$J$8:$J$269,PPTO!A$8:A$269)=0," ",LOOKUP(O24,PPTO!$J$8:$J$269,PPTO!A$8:A$269))</f>
        <v>2.02</v>
      </c>
      <c r="B24" s="91" t="str">
        <f>IF(LOOKUP(O24,PPTO!$J$8:J$269,PPTO!B$8:B$269)=0," ",LOOKUP(O24,PPTO!$J$8:J$269,PPTO!B$8:B$269))</f>
        <v xml:space="preserve"> </v>
      </c>
      <c r="C24" s="89" t="str">
        <f>IF(LOOKUP(O24,PPTO!$J$8:$J$269,PPTO!D$8:D$269)=0," ",LOOKUP(O24,PPTO!$J$8:$J$269,PPTO!D$8:D$269))</f>
        <v>M2</v>
      </c>
      <c r="D24" s="90" t="str">
        <f>IF(LOOKUP(O24,PPTO!$J$8:$J$269,PPTO!E$8:E$269)=0," ",LOOKUP(O24,PPTO!$J$8:$J$269,PPTO!E$8:E$269))</f>
        <v xml:space="preserve"> </v>
      </c>
      <c r="E24" s="90" t="str">
        <f>IF(LOOKUP(O24,PPTO!$J$8:$J$269,PPTO!F$8:F$269)=0," ",LOOKUP(O24,PPTO!$J$8:$J$269,PPTO!F$8:F$269))</f>
        <v xml:space="preserve"> </v>
      </c>
      <c r="F24" s="90" t="str">
        <f>IF(LOOKUP(O24,PPTO!$J$8:$J$269,PPTO!H$8:H$269)=0," ",LOOKUP(O24,PPTO!$J$8:$J$269,PPTO!H$8:H$269))</f>
        <v xml:space="preserve"> </v>
      </c>
      <c r="G24" s="476" t="e">
        <f t="shared" si="1"/>
        <v>#VALUE!</v>
      </c>
      <c r="H24" s="102" t="e">
        <f>'ACTA MODIFICACIÓN No.1'!K24</f>
        <v>#VALUE!</v>
      </c>
      <c r="I24" s="102" t="e">
        <f t="shared" si="3"/>
        <v>#VALUE!</v>
      </c>
      <c r="J24" s="477" t="e">
        <f t="shared" si="2"/>
        <v>#VALUE!</v>
      </c>
      <c r="K24" s="102" t="e">
        <f t="shared" si="4"/>
        <v>#VALUE!</v>
      </c>
      <c r="L24" s="102" t="e">
        <f t="shared" si="5"/>
        <v>#VALUE!</v>
      </c>
      <c r="M24" s="175">
        <v>4134</v>
      </c>
      <c r="N24" s="102" t="e">
        <f t="shared" si="6"/>
        <v>#VALUE!</v>
      </c>
      <c r="O24" s="108">
        <f t="shared" si="0"/>
        <v>7</v>
      </c>
    </row>
    <row r="25" spans="1:15">
      <c r="A25" s="87" t="str">
        <f>IF(LOOKUP(O25,PPTO!$J$8:$J$269,PPTO!A$8:A$269)=0," ",LOOKUP(O25,PPTO!$J$8:$J$269,PPTO!A$8:A$269))</f>
        <v>2.03</v>
      </c>
      <c r="B25" s="91" t="str">
        <f>IF(LOOKUP(O25,PPTO!$J$8:J$269,PPTO!B$8:B$269)=0," ",LOOKUP(O25,PPTO!$J$8:J$269,PPTO!B$8:B$269))</f>
        <v xml:space="preserve"> </v>
      </c>
      <c r="C25" s="89" t="str">
        <f>IF(LOOKUP(O25,PPTO!$J$8:$J$269,PPTO!D$8:D$269)=0," ",LOOKUP(O25,PPTO!$J$8:$J$269,PPTO!D$8:D$269))</f>
        <v>M2</v>
      </c>
      <c r="D25" s="90" t="str">
        <f>IF(LOOKUP(O25,PPTO!$J$8:$J$269,PPTO!E$8:E$269)=0," ",LOOKUP(O25,PPTO!$J$8:$J$269,PPTO!E$8:E$269))</f>
        <v xml:space="preserve"> </v>
      </c>
      <c r="E25" s="90" t="str">
        <f>IF(LOOKUP(O25,PPTO!$J$8:$J$269,PPTO!F$8:F$269)=0," ",LOOKUP(O25,PPTO!$J$8:$J$269,PPTO!F$8:F$269))</f>
        <v xml:space="preserve"> </v>
      </c>
      <c r="F25" s="90" t="str">
        <f>IF(LOOKUP(O25,PPTO!$J$8:$J$269,PPTO!H$8:H$269)=0," ",LOOKUP(O25,PPTO!$J$8:$J$269,PPTO!H$8:H$269))</f>
        <v xml:space="preserve"> </v>
      </c>
      <c r="G25" s="476" t="e">
        <f t="shared" si="1"/>
        <v>#VALUE!</v>
      </c>
      <c r="H25" s="102" t="e">
        <f>'ACTA MODIFICACIÓN No.1'!K25</f>
        <v>#VALUE!</v>
      </c>
      <c r="I25" s="102" t="e">
        <f t="shared" si="3"/>
        <v>#VALUE!</v>
      </c>
      <c r="J25" s="477" t="e">
        <f t="shared" si="2"/>
        <v>#VALUE!</v>
      </c>
      <c r="K25" s="102" t="e">
        <f t="shared" si="4"/>
        <v>#VALUE!</v>
      </c>
      <c r="L25" s="102" t="e">
        <f t="shared" si="5"/>
        <v>#VALUE!</v>
      </c>
      <c r="M25" s="175">
        <v>14696</v>
      </c>
      <c r="N25" s="102" t="e">
        <f t="shared" si="6"/>
        <v>#VALUE!</v>
      </c>
      <c r="O25" s="108">
        <f t="shared" si="0"/>
        <v>8</v>
      </c>
    </row>
    <row r="26" spans="1:15">
      <c r="A26" s="87" t="str">
        <f>IF(LOOKUP(O26,PPTO!$J$8:$J$269,PPTO!A$8:A$269)=0," ",LOOKUP(O26,PPTO!$J$8:$J$269,PPTO!A$8:A$269))</f>
        <v>2.04</v>
      </c>
      <c r="B26" s="91" t="str">
        <f>IF(LOOKUP(O26,PPTO!$J$8:J$269,PPTO!B$8:B$269)=0," ",LOOKUP(O26,PPTO!$J$8:J$269,PPTO!B$8:B$269))</f>
        <v xml:space="preserve"> </v>
      </c>
      <c r="C26" s="89" t="str">
        <f>IF(LOOKUP(O26,PPTO!$J$8:$J$269,PPTO!D$8:D$269)=0," ",LOOKUP(O26,PPTO!$J$8:$J$269,PPTO!D$8:D$269))</f>
        <v>UND</v>
      </c>
      <c r="D26" s="90" t="str">
        <f>IF(LOOKUP(O26,PPTO!$J$8:$J$269,PPTO!E$8:E$269)=0," ",LOOKUP(O26,PPTO!$J$8:$J$269,PPTO!E$8:E$269))</f>
        <v xml:space="preserve"> </v>
      </c>
      <c r="E26" s="90" t="str">
        <f>IF(LOOKUP(O26,PPTO!$J$8:$J$269,PPTO!F$8:F$269)=0," ",LOOKUP(O26,PPTO!$J$8:$J$269,PPTO!F$8:F$269))</f>
        <v xml:space="preserve"> </v>
      </c>
      <c r="F26" s="90" t="str">
        <f>IF(LOOKUP(O26,PPTO!$J$8:$J$269,PPTO!H$8:H$269)=0," ",LOOKUP(O26,PPTO!$J$8:$J$269,PPTO!H$8:H$269))</f>
        <v xml:space="preserve"> </v>
      </c>
      <c r="G26" s="476" t="e">
        <f t="shared" si="1"/>
        <v>#VALUE!</v>
      </c>
      <c r="H26" s="102" t="e">
        <f>'ACTA MODIFICACIÓN No.1'!K26</f>
        <v>#VALUE!</v>
      </c>
      <c r="I26" s="102" t="e">
        <f t="shared" si="3"/>
        <v>#VALUE!</v>
      </c>
      <c r="J26" s="477" t="e">
        <f t="shared" si="2"/>
        <v>#VALUE!</v>
      </c>
      <c r="K26" s="102" t="e">
        <f t="shared" si="4"/>
        <v>#VALUE!</v>
      </c>
      <c r="L26" s="102" t="e">
        <f t="shared" si="5"/>
        <v>#VALUE!</v>
      </c>
      <c r="M26" s="175">
        <v>200</v>
      </c>
      <c r="N26" s="102" t="e">
        <f t="shared" si="6"/>
        <v>#VALUE!</v>
      </c>
      <c r="O26" s="108">
        <f t="shared" si="0"/>
        <v>9</v>
      </c>
    </row>
    <row r="27" spans="1:15">
      <c r="A27" s="87">
        <f>IF(LOOKUP(O27,PPTO!$J$8:$J$269,PPTO!A$8:A$269)=0," ",LOOKUP(O27,PPTO!$J$8:$J$269,PPTO!A$8:A$269))</f>
        <v>3</v>
      </c>
      <c r="B27" s="91" t="str">
        <f>IF(LOOKUP(O27,PPTO!$J$8:J$269,PPTO!B$8:B$269)=0," ",LOOKUP(O27,PPTO!$J$8:J$269,PPTO!B$8:B$269))</f>
        <v>MOVIMIENTOS DE TIERRA</v>
      </c>
      <c r="C27" s="89" t="str">
        <f>IF(LOOKUP(O27,PPTO!$J$8:$J$269,PPTO!D$8:D$269)=0," ",LOOKUP(O27,PPTO!$J$8:$J$269,PPTO!D$8:D$269))</f>
        <v xml:space="preserve"> </v>
      </c>
      <c r="D27" s="90" t="str">
        <f>IF(LOOKUP(O27,PPTO!$J$8:$J$269,PPTO!E$8:E$269)=0," ",LOOKUP(O27,PPTO!$J$8:$J$269,PPTO!E$8:E$269))</f>
        <v xml:space="preserve"> </v>
      </c>
      <c r="E27" s="90" t="str">
        <f>IF(LOOKUP(O27,PPTO!$J$8:$J$269,PPTO!F$8:F$269)=0," ",LOOKUP(O27,PPTO!$J$8:$J$269,PPTO!F$8:F$269))</f>
        <v xml:space="preserve"> </v>
      </c>
      <c r="F27" s="90" t="str">
        <f>IF(LOOKUP(O27,PPTO!$J$8:$J$269,PPTO!H$8:H$269)=0," ",LOOKUP(O27,PPTO!$J$8:$J$269,PPTO!H$8:H$269))</f>
        <v xml:space="preserve"> </v>
      </c>
      <c r="G27" s="476" t="str">
        <f t="shared" si="1"/>
        <v>+</v>
      </c>
      <c r="H27" s="102">
        <f>'ACTA MODIFICACIÓN No.1'!K27</f>
        <v>0</v>
      </c>
      <c r="I27" s="102"/>
      <c r="J27" s="477" t="str">
        <f t="shared" si="2"/>
        <v>+</v>
      </c>
      <c r="K27" s="102"/>
      <c r="L27" s="102"/>
      <c r="M27" s="175"/>
      <c r="N27" s="102"/>
      <c r="O27" s="108">
        <f t="shared" si="0"/>
        <v>10</v>
      </c>
    </row>
    <row r="28" spans="1:15">
      <c r="A28" s="87" t="str">
        <f>IF(LOOKUP(O28,PPTO!$J$8:$J$269,PPTO!A$8:A$269)=0," ",LOOKUP(O28,PPTO!$J$8:$J$269,PPTO!A$8:A$269))</f>
        <v>3.01</v>
      </c>
      <c r="B28" s="91" t="str">
        <f>IF(LOOKUP(O28,PPTO!$J$8:J$269,PPTO!B$8:B$269)=0," ",LOOKUP(O28,PPTO!$J$8:J$269,PPTO!B$8:B$269))</f>
        <v xml:space="preserve"> </v>
      </c>
      <c r="C28" s="89" t="str">
        <f>IF(LOOKUP(O28,PPTO!$J$8:$J$269,PPTO!D$8:D$269)=0," ",LOOKUP(O28,PPTO!$J$8:$J$269,PPTO!D$8:D$269))</f>
        <v>M3</v>
      </c>
      <c r="D28" s="90" t="str">
        <f>IF(LOOKUP(O28,PPTO!$J$8:$J$269,PPTO!E$8:E$269)=0," ",LOOKUP(O28,PPTO!$J$8:$J$269,PPTO!E$8:E$269))</f>
        <v xml:space="preserve"> </v>
      </c>
      <c r="E28" s="90" t="str">
        <f>IF(LOOKUP(O28,PPTO!$J$8:$J$269,PPTO!F$8:F$269)=0," ",LOOKUP(O28,PPTO!$J$8:$J$269,PPTO!F$8:F$269))</f>
        <v xml:space="preserve"> </v>
      </c>
      <c r="F28" s="90" t="str">
        <f>IF(LOOKUP(O28,PPTO!$J$8:$J$269,PPTO!H$8:H$269)=0," ",LOOKUP(O28,PPTO!$J$8:$J$269,PPTO!H$8:H$269))</f>
        <v xml:space="preserve"> </v>
      </c>
      <c r="G28" s="476" t="e">
        <f t="shared" si="1"/>
        <v>#VALUE!</v>
      </c>
      <c r="H28" s="102" t="e">
        <f>'ACTA MODIFICACIÓN No.1'!K28</f>
        <v>#VALUE!</v>
      </c>
      <c r="I28" s="102" t="e">
        <f t="shared" si="3"/>
        <v>#VALUE!</v>
      </c>
      <c r="J28" s="477" t="e">
        <f t="shared" si="2"/>
        <v>#VALUE!</v>
      </c>
      <c r="K28" s="102" t="e">
        <f t="shared" si="4"/>
        <v>#VALUE!</v>
      </c>
      <c r="L28" s="102" t="e">
        <f t="shared" si="5"/>
        <v>#VALUE!</v>
      </c>
      <c r="M28" s="175">
        <v>243</v>
      </c>
      <c r="N28" s="102" t="e">
        <f t="shared" si="6"/>
        <v>#VALUE!</v>
      </c>
      <c r="O28" s="108">
        <f t="shared" si="0"/>
        <v>11</v>
      </c>
    </row>
    <row r="29" spans="1:15">
      <c r="A29" s="87" t="str">
        <f>IF(LOOKUP(O29,PPTO!$J$8:$J$269,PPTO!A$8:A$269)=0," ",LOOKUP(O29,PPTO!$J$8:$J$269,PPTO!A$8:A$269))</f>
        <v>3.02</v>
      </c>
      <c r="B29" s="91" t="str">
        <f>IF(LOOKUP(O29,PPTO!$J$8:J$269,PPTO!B$8:B$269)=0," ",LOOKUP(O29,PPTO!$J$8:J$269,PPTO!B$8:B$269))</f>
        <v xml:space="preserve"> </v>
      </c>
      <c r="C29" s="89" t="str">
        <f>IF(LOOKUP(O29,PPTO!$J$8:$J$269,PPTO!D$8:D$269)=0," ",LOOKUP(O29,PPTO!$J$8:$J$269,PPTO!D$8:D$269))</f>
        <v>M3</v>
      </c>
      <c r="D29" s="90" t="str">
        <f>IF(LOOKUP(O29,PPTO!$J$8:$J$269,PPTO!E$8:E$269)=0," ",LOOKUP(O29,PPTO!$J$8:$J$269,PPTO!E$8:E$269))</f>
        <v xml:space="preserve"> </v>
      </c>
      <c r="E29" s="90" t="str">
        <f>IF(LOOKUP(O29,PPTO!$J$8:$J$269,PPTO!F$8:F$269)=0," ",LOOKUP(O29,PPTO!$J$8:$J$269,PPTO!F$8:F$269))</f>
        <v xml:space="preserve"> </v>
      </c>
      <c r="F29" s="90" t="str">
        <f>IF(LOOKUP(O29,PPTO!$J$8:$J$269,PPTO!H$8:H$269)=0," ",LOOKUP(O29,PPTO!$J$8:$J$269,PPTO!H$8:H$269))</f>
        <v xml:space="preserve"> </v>
      </c>
      <c r="G29" s="476" t="e">
        <f t="shared" si="1"/>
        <v>#VALUE!</v>
      </c>
      <c r="H29" s="102" t="e">
        <f>'ACTA MODIFICACIÓN No.1'!K29</f>
        <v>#VALUE!</v>
      </c>
      <c r="I29" s="102" t="e">
        <f t="shared" si="3"/>
        <v>#VALUE!</v>
      </c>
      <c r="J29" s="477" t="e">
        <f t="shared" si="2"/>
        <v>#VALUE!</v>
      </c>
      <c r="K29" s="102" t="e">
        <f t="shared" si="4"/>
        <v>#VALUE!</v>
      </c>
      <c r="L29" s="102" t="e">
        <f t="shared" si="5"/>
        <v>#VALUE!</v>
      </c>
      <c r="M29" s="175">
        <v>2018.33</v>
      </c>
      <c r="N29" s="102" t="e">
        <f t="shared" si="6"/>
        <v>#VALUE!</v>
      </c>
      <c r="O29" s="108">
        <f>O28+1</f>
        <v>12</v>
      </c>
    </row>
    <row r="30" spans="1:15">
      <c r="A30" s="87" t="str">
        <f>IF(LOOKUP(O30,PPTO!$J$8:$J$269,PPTO!A$8:A$269)=0," ",LOOKUP(O30,PPTO!$J$8:$J$269,PPTO!A$8:A$269))</f>
        <v>3.03</v>
      </c>
      <c r="B30" s="91" t="str">
        <f>IF(LOOKUP(O30,PPTO!$J$8:J$269,PPTO!B$8:B$269)=0," ",LOOKUP(O30,PPTO!$J$8:J$269,PPTO!B$8:B$269))</f>
        <v xml:space="preserve"> </v>
      </c>
      <c r="C30" s="89" t="str">
        <f>IF(LOOKUP(O30,PPTO!$J$8:$J$269,PPTO!D$8:D$269)=0," ",LOOKUP(O30,PPTO!$J$8:$J$269,PPTO!D$8:D$269))</f>
        <v>M3</v>
      </c>
      <c r="D30" s="90" t="str">
        <f>IF(LOOKUP(O30,PPTO!$J$8:$J$269,PPTO!E$8:E$269)=0," ",LOOKUP(O30,PPTO!$J$8:$J$269,PPTO!E$8:E$269))</f>
        <v xml:space="preserve"> </v>
      </c>
      <c r="E30" s="90" t="str">
        <f>IF(LOOKUP(O30,PPTO!$J$8:$J$269,PPTO!F$8:F$269)=0," ",LOOKUP(O30,PPTO!$J$8:$J$269,PPTO!F$8:F$269))</f>
        <v xml:space="preserve"> </v>
      </c>
      <c r="F30" s="90" t="str">
        <f>IF(LOOKUP(O30,PPTO!$J$8:$J$269,PPTO!H$8:H$269)=0," ",LOOKUP(O30,PPTO!$J$8:$J$269,PPTO!H$8:H$269))</f>
        <v xml:space="preserve"> </v>
      </c>
      <c r="G30" s="476" t="e">
        <f t="shared" si="1"/>
        <v>#VALUE!</v>
      </c>
      <c r="H30" s="102" t="e">
        <f>'ACTA MODIFICACIÓN No.1'!K30</f>
        <v>#VALUE!</v>
      </c>
      <c r="I30" s="102" t="e">
        <f t="shared" si="3"/>
        <v>#VALUE!</v>
      </c>
      <c r="J30" s="477" t="e">
        <f t="shared" si="2"/>
        <v>#VALUE!</v>
      </c>
      <c r="K30" s="102" t="e">
        <f t="shared" si="4"/>
        <v>#VALUE!</v>
      </c>
      <c r="L30" s="102" t="e">
        <f t="shared" si="5"/>
        <v>#VALUE!</v>
      </c>
      <c r="M30" s="175">
        <v>1587.38</v>
      </c>
      <c r="N30" s="102" t="e">
        <f t="shared" si="6"/>
        <v>#VALUE!</v>
      </c>
      <c r="O30" s="108">
        <f>O29+1</f>
        <v>13</v>
      </c>
    </row>
    <row r="31" spans="1:15">
      <c r="A31" s="87" t="str">
        <f>IF(LOOKUP(O31,PPTO!$J$8:$J$269,PPTO!A$8:A$269)=0," ",LOOKUP(O31,PPTO!$J$8:$J$269,PPTO!A$8:A$269))</f>
        <v>3.04</v>
      </c>
      <c r="B31" s="91" t="str">
        <f>IF(LOOKUP(O31,PPTO!$J$8:J$269,PPTO!B$8:B$269)=0," ",LOOKUP(O31,PPTO!$J$8:J$269,PPTO!B$8:B$269))</f>
        <v xml:space="preserve"> </v>
      </c>
      <c r="C31" s="89" t="str">
        <f>IF(LOOKUP(O31,PPTO!$J$8:$J$269,PPTO!D$8:D$269)=0," ",LOOKUP(O31,PPTO!$J$8:$J$269,PPTO!D$8:D$269))</f>
        <v>M3</v>
      </c>
      <c r="D31" s="90" t="str">
        <f>IF(LOOKUP(O31,PPTO!$J$8:$J$269,PPTO!E$8:E$269)=0," ",LOOKUP(O31,PPTO!$J$8:$J$269,PPTO!E$8:E$269))</f>
        <v xml:space="preserve"> </v>
      </c>
      <c r="E31" s="90" t="str">
        <f>IF(LOOKUP(O31,PPTO!$J$8:$J$269,PPTO!F$8:F$269)=0," ",LOOKUP(O31,PPTO!$J$8:$J$269,PPTO!F$8:F$269))</f>
        <v xml:space="preserve"> </v>
      </c>
      <c r="F31" s="90" t="str">
        <f>IF(LOOKUP(O31,PPTO!$J$8:$J$269,PPTO!H$8:H$269)=0," ",LOOKUP(O31,PPTO!$J$8:$J$269,PPTO!H$8:H$269))</f>
        <v xml:space="preserve"> </v>
      </c>
      <c r="G31" s="476" t="e">
        <f t="shared" si="1"/>
        <v>#VALUE!</v>
      </c>
      <c r="H31" s="102" t="e">
        <f>'ACTA MODIFICACIÓN No.1'!K31</f>
        <v>#VALUE!</v>
      </c>
      <c r="I31" s="102" t="e">
        <f t="shared" si="3"/>
        <v>#VALUE!</v>
      </c>
      <c r="J31" s="477" t="e">
        <f t="shared" si="2"/>
        <v>#VALUE!</v>
      </c>
      <c r="K31" s="102" t="e">
        <f t="shared" si="4"/>
        <v>#VALUE!</v>
      </c>
      <c r="L31" s="102" t="e">
        <f t="shared" si="5"/>
        <v>#VALUE!</v>
      </c>
      <c r="M31" s="175">
        <v>21041</v>
      </c>
      <c r="N31" s="102" t="e">
        <f t="shared" si="6"/>
        <v>#VALUE!</v>
      </c>
      <c r="O31" s="108">
        <f t="shared" si="0"/>
        <v>14</v>
      </c>
    </row>
    <row r="32" spans="1:15">
      <c r="A32" s="87" t="str">
        <f>IF(LOOKUP(O32,PPTO!$J$8:$J$269,PPTO!A$8:A$269)=0," ",LOOKUP(O32,PPTO!$J$8:$J$269,PPTO!A$8:A$269))</f>
        <v>3.05</v>
      </c>
      <c r="B32" s="91" t="str">
        <f>IF(LOOKUP(O32,PPTO!$J$8:J$269,PPTO!B$8:B$269)=0," ",LOOKUP(O32,PPTO!$J$8:J$269,PPTO!B$8:B$269))</f>
        <v xml:space="preserve"> </v>
      </c>
      <c r="C32" s="89" t="str">
        <f>IF(LOOKUP(O32,PPTO!$J$8:$J$269,PPTO!D$8:D$269)=0," ",LOOKUP(O32,PPTO!$J$8:$J$269,PPTO!D$8:D$269))</f>
        <v>M3</v>
      </c>
      <c r="D32" s="90" t="str">
        <f>IF(LOOKUP(O32,PPTO!$J$8:$J$269,PPTO!E$8:E$269)=0," ",LOOKUP(O32,PPTO!$J$8:$J$269,PPTO!E$8:E$269))</f>
        <v xml:space="preserve"> </v>
      </c>
      <c r="E32" s="90" t="str">
        <f>IF(LOOKUP(O32,PPTO!$J$8:$J$269,PPTO!F$8:F$269)=0," ",LOOKUP(O32,PPTO!$J$8:$J$269,PPTO!F$8:F$269))</f>
        <v xml:space="preserve"> </v>
      </c>
      <c r="F32" s="90" t="str">
        <f>IF(LOOKUP(O32,PPTO!$J$8:$J$269,PPTO!H$8:H$269)=0," ",LOOKUP(O32,PPTO!$J$8:$J$269,PPTO!H$8:H$269))</f>
        <v xml:space="preserve"> </v>
      </c>
      <c r="G32" s="476" t="e">
        <f t="shared" si="1"/>
        <v>#VALUE!</v>
      </c>
      <c r="H32" s="102" t="e">
        <f>'ACTA MODIFICACIÓN No.1'!K32</f>
        <v>#VALUE!</v>
      </c>
      <c r="I32" s="102" t="e">
        <f t="shared" si="3"/>
        <v>#VALUE!</v>
      </c>
      <c r="J32" s="477" t="e">
        <f t="shared" si="2"/>
        <v>#VALUE!</v>
      </c>
      <c r="K32" s="102" t="e">
        <f t="shared" si="4"/>
        <v>#VALUE!</v>
      </c>
      <c r="L32" s="102" t="e">
        <f t="shared" si="5"/>
        <v>#VALUE!</v>
      </c>
      <c r="M32" s="175">
        <v>936.85</v>
      </c>
      <c r="N32" s="102" t="e">
        <f t="shared" si="6"/>
        <v>#VALUE!</v>
      </c>
      <c r="O32" s="108">
        <f t="shared" si="0"/>
        <v>15</v>
      </c>
    </row>
    <row r="33" spans="1:15">
      <c r="A33" s="87" t="str">
        <f>IF(LOOKUP(O33,PPTO!$J$8:$J$269,PPTO!A$8:A$269)=0," ",LOOKUP(O33,PPTO!$J$8:$J$269,PPTO!A$8:A$269))</f>
        <v>3.06</v>
      </c>
      <c r="B33" s="91" t="str">
        <f>IF(LOOKUP(O33,PPTO!$J$8:J$269,PPTO!B$8:B$269)=0," ",LOOKUP(O33,PPTO!$J$8:J$269,PPTO!B$8:B$269))</f>
        <v xml:space="preserve"> </v>
      </c>
      <c r="C33" s="89" t="str">
        <f>IF(LOOKUP(O33,PPTO!$J$8:$J$269,PPTO!D$8:D$269)=0," ",LOOKUP(O33,PPTO!$J$8:$J$269,PPTO!D$8:D$269))</f>
        <v>M3</v>
      </c>
      <c r="D33" s="90" t="str">
        <f>IF(LOOKUP(O33,PPTO!$J$8:$J$269,PPTO!E$8:E$269)=0," ",LOOKUP(O33,PPTO!$J$8:$J$269,PPTO!E$8:E$269))</f>
        <v xml:space="preserve"> </v>
      </c>
      <c r="E33" s="90" t="str">
        <f>IF(LOOKUP(O33,PPTO!$J$8:$J$269,PPTO!F$8:F$269)=0," ",LOOKUP(O33,PPTO!$J$8:$J$269,PPTO!F$8:F$269))</f>
        <v xml:space="preserve"> </v>
      </c>
      <c r="F33" s="90" t="str">
        <f>IF(LOOKUP(O33,PPTO!$J$8:$J$269,PPTO!H$8:H$269)=0," ",LOOKUP(O33,PPTO!$J$8:$J$269,PPTO!H$8:H$269))</f>
        <v xml:space="preserve"> </v>
      </c>
      <c r="G33" s="476" t="e">
        <f t="shared" si="1"/>
        <v>#VALUE!</v>
      </c>
      <c r="H33" s="102" t="e">
        <f>'ACTA MODIFICACIÓN No.1'!K33</f>
        <v>#VALUE!</v>
      </c>
      <c r="I33" s="102" t="e">
        <f t="shared" si="3"/>
        <v>#VALUE!</v>
      </c>
      <c r="J33" s="477" t="e">
        <f t="shared" si="2"/>
        <v>#VALUE!</v>
      </c>
      <c r="K33" s="102" t="e">
        <f t="shared" si="4"/>
        <v>#VALUE!</v>
      </c>
      <c r="L33" s="102" t="e">
        <f t="shared" si="5"/>
        <v>#VALUE!</v>
      </c>
      <c r="M33" s="175">
        <v>2018.33</v>
      </c>
      <c r="N33" s="102" t="e">
        <f t="shared" si="6"/>
        <v>#VALUE!</v>
      </c>
      <c r="O33" s="108">
        <f t="shared" si="0"/>
        <v>16</v>
      </c>
    </row>
    <row r="34" spans="1:15">
      <c r="A34" s="87" t="str">
        <f>IF(LOOKUP(O34,PPTO!$J$8:$J$269,PPTO!A$8:A$269)=0," ",LOOKUP(O34,PPTO!$J$8:$J$269,PPTO!A$8:A$269))</f>
        <v>3.07</v>
      </c>
      <c r="B34" s="91" t="str">
        <f>IF(LOOKUP(O34,PPTO!$J$8:J$269,PPTO!B$8:B$269)=0," ",LOOKUP(O34,PPTO!$J$8:J$269,PPTO!B$8:B$269))</f>
        <v xml:space="preserve"> </v>
      </c>
      <c r="C34" s="89" t="str">
        <f>IF(LOOKUP(O34,PPTO!$J$8:$J$269,PPTO!D$8:D$269)=0," ",LOOKUP(O34,PPTO!$J$8:$J$269,PPTO!D$8:D$269))</f>
        <v>M3</v>
      </c>
      <c r="D34" s="90" t="str">
        <f>IF(LOOKUP(O34,PPTO!$J$8:$J$269,PPTO!E$8:E$269)=0," ",LOOKUP(O34,PPTO!$J$8:$J$269,PPTO!E$8:E$269))</f>
        <v xml:space="preserve"> </v>
      </c>
      <c r="E34" s="90" t="str">
        <f>IF(LOOKUP(O34,PPTO!$J$8:$J$269,PPTO!F$8:F$269)=0," ",LOOKUP(O34,PPTO!$J$8:$J$269,PPTO!F$8:F$269))</f>
        <v xml:space="preserve"> </v>
      </c>
      <c r="F34" s="90" t="str">
        <f>IF(LOOKUP(O34,PPTO!$J$8:$J$269,PPTO!H$8:H$269)=0," ",LOOKUP(O34,PPTO!$J$8:$J$269,PPTO!H$8:H$269))</f>
        <v xml:space="preserve"> </v>
      </c>
      <c r="G34" s="476" t="e">
        <f t="shared" si="1"/>
        <v>#VALUE!</v>
      </c>
      <c r="H34" s="102" t="e">
        <f>'ACTA MODIFICACIÓN No.1'!K34</f>
        <v>#VALUE!</v>
      </c>
      <c r="I34" s="102" t="e">
        <f t="shared" si="3"/>
        <v>#VALUE!</v>
      </c>
      <c r="J34" s="477" t="e">
        <f t="shared" si="2"/>
        <v>#VALUE!</v>
      </c>
      <c r="K34" s="102" t="e">
        <f t="shared" si="4"/>
        <v>#VALUE!</v>
      </c>
      <c r="L34" s="102" t="e">
        <f t="shared" si="5"/>
        <v>#VALUE!</v>
      </c>
      <c r="M34" s="175">
        <v>1587.38</v>
      </c>
      <c r="N34" s="102" t="e">
        <f t="shared" si="6"/>
        <v>#VALUE!</v>
      </c>
      <c r="O34" s="108">
        <f t="shared" si="0"/>
        <v>17</v>
      </c>
    </row>
    <row r="35" spans="1:15">
      <c r="A35" s="87" t="str">
        <f>IF(LOOKUP(O35,PPTO!$J$8:$J$269,PPTO!A$8:A$269)=0," ",LOOKUP(O35,PPTO!$J$8:$J$269,PPTO!A$8:A$269))</f>
        <v>3.08</v>
      </c>
      <c r="B35" s="91" t="str">
        <f>IF(LOOKUP(O35,PPTO!$J$8:J$269,PPTO!B$8:B$269)=0," ",LOOKUP(O35,PPTO!$J$8:J$269,PPTO!B$8:B$269))</f>
        <v xml:space="preserve"> </v>
      </c>
      <c r="C35" s="89" t="str">
        <f>IF(LOOKUP(O35,PPTO!$J$8:$J$269,PPTO!D$8:D$269)=0," ",LOOKUP(O35,PPTO!$J$8:$J$269,PPTO!D$8:D$269))</f>
        <v>M2</v>
      </c>
      <c r="D35" s="90" t="str">
        <f>IF(LOOKUP(O35,PPTO!$J$8:$J$269,PPTO!E$8:E$269)=0," ",LOOKUP(O35,PPTO!$J$8:$J$269,PPTO!E$8:E$269))</f>
        <v xml:space="preserve"> </v>
      </c>
      <c r="E35" s="90" t="str">
        <f>IF(LOOKUP(O35,PPTO!$J$8:$J$269,PPTO!F$8:F$269)=0," ",LOOKUP(O35,PPTO!$J$8:$J$269,PPTO!F$8:F$269))</f>
        <v xml:space="preserve"> </v>
      </c>
      <c r="F35" s="90" t="str">
        <f>IF(LOOKUP(O35,PPTO!$J$8:$J$269,PPTO!H$8:H$269)=0," ",LOOKUP(O35,PPTO!$J$8:$J$269,PPTO!H$8:H$269))</f>
        <v xml:space="preserve"> </v>
      </c>
      <c r="G35" s="476" t="e">
        <f t="shared" si="1"/>
        <v>#VALUE!</v>
      </c>
      <c r="H35" s="102" t="e">
        <f>'ACTA MODIFICACIÓN No.1'!K35</f>
        <v>#VALUE!</v>
      </c>
      <c r="I35" s="102" t="e">
        <f t="shared" si="3"/>
        <v>#VALUE!</v>
      </c>
      <c r="J35" s="477" t="e">
        <f t="shared" si="2"/>
        <v>#VALUE!</v>
      </c>
      <c r="K35" s="102" t="e">
        <f t="shared" si="4"/>
        <v>#VALUE!</v>
      </c>
      <c r="L35" s="102" t="e">
        <f t="shared" si="5"/>
        <v>#VALUE!</v>
      </c>
      <c r="M35" s="175">
        <v>10500</v>
      </c>
      <c r="N35" s="102" t="e">
        <f t="shared" si="6"/>
        <v>#VALUE!</v>
      </c>
      <c r="O35" s="108">
        <f t="shared" si="0"/>
        <v>18</v>
      </c>
    </row>
    <row r="36" spans="1:15">
      <c r="A36" s="87" t="str">
        <f>IF(LOOKUP(O36,PPTO!$J$8:$J$269,PPTO!A$8:A$269)=0," ",LOOKUP(O36,PPTO!$J$8:$J$269,PPTO!A$8:A$269))</f>
        <v>3.09</v>
      </c>
      <c r="B36" s="91" t="str">
        <f>IF(LOOKUP(O36,PPTO!$J$8:J$269,PPTO!B$8:B$269)=0," ",LOOKUP(O36,PPTO!$J$8:J$269,PPTO!B$8:B$269))</f>
        <v xml:space="preserve"> </v>
      </c>
      <c r="C36" s="89" t="str">
        <f>IF(LOOKUP(O36,PPTO!$J$8:$J$269,PPTO!D$8:D$269)=0," ",LOOKUP(O36,PPTO!$J$8:$J$269,PPTO!D$8:D$269))</f>
        <v>UND</v>
      </c>
      <c r="D36" s="90" t="str">
        <f>IF(LOOKUP(O36,PPTO!$J$8:$J$269,PPTO!E$8:E$269)=0," ",LOOKUP(O36,PPTO!$J$8:$J$269,PPTO!E$8:E$269))</f>
        <v xml:space="preserve"> </v>
      </c>
      <c r="E36" s="90" t="str">
        <f>IF(LOOKUP(O36,PPTO!$J$8:$J$269,PPTO!F$8:F$269)=0," ",LOOKUP(O36,PPTO!$J$8:$J$269,PPTO!F$8:F$269))</f>
        <v xml:space="preserve"> </v>
      </c>
      <c r="F36" s="90" t="str">
        <f>IF(LOOKUP(O36,PPTO!$J$8:$J$269,PPTO!H$8:H$269)=0," ",LOOKUP(O36,PPTO!$J$8:$J$269,PPTO!H$8:H$269))</f>
        <v xml:space="preserve"> </v>
      </c>
      <c r="G36" s="476" t="e">
        <f t="shared" si="1"/>
        <v>#VALUE!</v>
      </c>
      <c r="H36" s="102" t="e">
        <f>'ACTA MODIFICACIÓN No.1'!K36</f>
        <v>#VALUE!</v>
      </c>
      <c r="I36" s="102" t="e">
        <f t="shared" si="3"/>
        <v>#VALUE!</v>
      </c>
      <c r="J36" s="477" t="e">
        <f t="shared" si="2"/>
        <v>#VALUE!</v>
      </c>
      <c r="K36" s="102" t="e">
        <f t="shared" si="4"/>
        <v>#VALUE!</v>
      </c>
      <c r="L36" s="102" t="e">
        <f t="shared" si="5"/>
        <v>#VALUE!</v>
      </c>
      <c r="M36" s="175">
        <v>936.85</v>
      </c>
      <c r="N36" s="102" t="e">
        <f t="shared" si="6"/>
        <v>#VALUE!</v>
      </c>
      <c r="O36" s="108">
        <f t="shared" si="0"/>
        <v>19</v>
      </c>
    </row>
    <row r="37" spans="1:15">
      <c r="A37" s="87" t="str">
        <f>IF(LOOKUP(O37,PPTO!$J$8:$J$269,PPTO!A$8:A$269)=0," ",LOOKUP(O37,PPTO!$J$8:$J$269,PPTO!A$8:A$269))</f>
        <v>3.10</v>
      </c>
      <c r="B37" s="91" t="str">
        <f>IF(LOOKUP(O37,PPTO!$J$8:J$269,PPTO!B$8:B$269)=0," ",LOOKUP(O37,PPTO!$J$8:J$269,PPTO!B$8:B$269))</f>
        <v xml:space="preserve"> </v>
      </c>
      <c r="C37" s="89" t="str">
        <f>IF(LOOKUP(O37,PPTO!$J$8:$J$269,PPTO!D$8:D$269)=0," ",LOOKUP(O37,PPTO!$J$8:$J$269,PPTO!D$8:D$269))</f>
        <v>M3</v>
      </c>
      <c r="D37" s="90" t="str">
        <f>IF(LOOKUP(O37,PPTO!$J$8:$J$269,PPTO!E$8:E$269)=0," ",LOOKUP(O37,PPTO!$J$8:$J$269,PPTO!E$8:E$269))</f>
        <v xml:space="preserve"> </v>
      </c>
      <c r="E37" s="90" t="str">
        <f>IF(LOOKUP(O37,PPTO!$J$8:$J$269,PPTO!F$8:F$269)=0," ",LOOKUP(O37,PPTO!$J$8:$J$269,PPTO!F$8:F$269))</f>
        <v xml:space="preserve"> </v>
      </c>
      <c r="F37" s="90" t="str">
        <f>IF(LOOKUP(O37,PPTO!$J$8:$J$269,PPTO!H$8:H$269)=0," ",LOOKUP(O37,PPTO!$J$8:$J$269,PPTO!H$8:H$269))</f>
        <v xml:space="preserve"> </v>
      </c>
      <c r="G37" s="476" t="e">
        <f t="shared" si="1"/>
        <v>#VALUE!</v>
      </c>
      <c r="H37" s="102" t="e">
        <f>'ACTA MODIFICACIÓN No.1'!K37</f>
        <v>#VALUE!</v>
      </c>
      <c r="I37" s="102" t="e">
        <f t="shared" si="3"/>
        <v>#VALUE!</v>
      </c>
      <c r="J37" s="477" t="e">
        <f t="shared" si="2"/>
        <v>#VALUE!</v>
      </c>
      <c r="K37" s="102" t="e">
        <f t="shared" si="4"/>
        <v>#VALUE!</v>
      </c>
      <c r="L37" s="102" t="e">
        <f t="shared" si="5"/>
        <v>#VALUE!</v>
      </c>
      <c r="M37" s="175">
        <v>2018.33</v>
      </c>
      <c r="N37" s="102" t="e">
        <f t="shared" si="6"/>
        <v>#VALUE!</v>
      </c>
      <c r="O37" s="108">
        <f t="shared" si="0"/>
        <v>20</v>
      </c>
    </row>
    <row r="38" spans="1:15">
      <c r="A38" s="87" t="str">
        <f>IF(LOOKUP(O38,PPTO!$J$8:$J$269,PPTO!A$8:A$269)=0," ",LOOKUP(O38,PPTO!$J$8:$J$269,PPTO!A$8:A$269))</f>
        <v>3.11</v>
      </c>
      <c r="B38" s="91" t="str">
        <f>IF(LOOKUP(O38,PPTO!$J$8:J$269,PPTO!B$8:B$269)=0," ",LOOKUP(O38,PPTO!$J$8:J$269,PPTO!B$8:B$269))</f>
        <v xml:space="preserve"> </v>
      </c>
      <c r="C38" s="89" t="str">
        <f>IF(LOOKUP(O38,PPTO!$J$8:$J$269,PPTO!D$8:D$269)=0," ",LOOKUP(O38,PPTO!$J$8:$J$269,PPTO!D$8:D$269))</f>
        <v>M3</v>
      </c>
      <c r="D38" s="90" t="str">
        <f>IF(LOOKUP(O38,PPTO!$J$8:$J$269,PPTO!E$8:E$269)=0," ",LOOKUP(O38,PPTO!$J$8:$J$269,PPTO!E$8:E$269))</f>
        <v xml:space="preserve"> </v>
      </c>
      <c r="E38" s="90" t="str">
        <f>IF(LOOKUP(O38,PPTO!$J$8:$J$269,PPTO!F$8:F$269)=0," ",LOOKUP(O38,PPTO!$J$8:$J$269,PPTO!F$8:F$269))</f>
        <v xml:space="preserve"> </v>
      </c>
      <c r="F38" s="90" t="str">
        <f>IF(LOOKUP(O38,PPTO!$J$8:$J$269,PPTO!H$8:H$269)=0," ",LOOKUP(O38,PPTO!$J$8:$J$269,PPTO!H$8:H$269))</f>
        <v xml:space="preserve"> </v>
      </c>
      <c r="G38" s="476" t="e">
        <f t="shared" si="1"/>
        <v>#VALUE!</v>
      </c>
      <c r="H38" s="102" t="e">
        <f>'ACTA MODIFICACIÓN No.1'!K38</f>
        <v>#VALUE!</v>
      </c>
      <c r="I38" s="102" t="e">
        <f t="shared" si="3"/>
        <v>#VALUE!</v>
      </c>
      <c r="J38" s="477" t="e">
        <f t="shared" si="2"/>
        <v>#VALUE!</v>
      </c>
      <c r="K38" s="102" t="e">
        <f t="shared" si="4"/>
        <v>#VALUE!</v>
      </c>
      <c r="L38" s="102" t="e">
        <f t="shared" si="5"/>
        <v>#VALUE!</v>
      </c>
      <c r="M38" s="175">
        <v>18000</v>
      </c>
      <c r="N38" s="102" t="e">
        <f t="shared" si="6"/>
        <v>#VALUE!</v>
      </c>
      <c r="O38" s="108">
        <f t="shared" si="0"/>
        <v>21</v>
      </c>
    </row>
    <row r="39" spans="1:15">
      <c r="A39" s="87" t="str">
        <f>IF(LOOKUP(O39,PPTO!$J$8:$J$269,PPTO!A$8:A$269)=0," ",LOOKUP(O39,PPTO!$J$8:$J$269,PPTO!A$8:A$269))</f>
        <v>3.12</v>
      </c>
      <c r="B39" s="91" t="str">
        <f>IF(LOOKUP(O39,PPTO!$J$8:J$269,PPTO!B$8:B$269)=0," ",LOOKUP(O39,PPTO!$J$8:J$269,PPTO!B$8:B$269))</f>
        <v xml:space="preserve"> </v>
      </c>
      <c r="C39" s="89" t="str">
        <f>IF(LOOKUP(O39,PPTO!$J$8:$J$269,PPTO!D$8:D$269)=0," ",LOOKUP(O39,PPTO!$J$8:$J$269,PPTO!D$8:D$269))</f>
        <v>M3</v>
      </c>
      <c r="D39" s="90" t="str">
        <f>IF(LOOKUP(O39,PPTO!$J$8:$J$269,PPTO!E$8:E$269)=0," ",LOOKUP(O39,PPTO!$J$8:$J$269,PPTO!E$8:E$269))</f>
        <v xml:space="preserve"> </v>
      </c>
      <c r="E39" s="90" t="str">
        <f>IF(LOOKUP(O39,PPTO!$J$8:$J$269,PPTO!F$8:F$269)=0," ",LOOKUP(O39,PPTO!$J$8:$J$269,PPTO!F$8:F$269))</f>
        <v xml:space="preserve"> </v>
      </c>
      <c r="F39" s="90" t="str">
        <f>IF(LOOKUP(O39,PPTO!$J$8:$J$269,PPTO!H$8:H$269)=0," ",LOOKUP(O39,PPTO!$J$8:$J$269,PPTO!H$8:H$269))</f>
        <v xml:space="preserve"> </v>
      </c>
      <c r="G39" s="476" t="e">
        <f t="shared" si="1"/>
        <v>#VALUE!</v>
      </c>
      <c r="H39" s="102" t="e">
        <f>'ACTA MODIFICACIÓN No.1'!K39</f>
        <v>#VALUE!</v>
      </c>
      <c r="I39" s="102" t="e">
        <f t="shared" si="3"/>
        <v>#VALUE!</v>
      </c>
      <c r="J39" s="477" t="e">
        <f t="shared" si="2"/>
        <v>#VALUE!</v>
      </c>
      <c r="K39" s="102" t="e">
        <f t="shared" si="4"/>
        <v>#VALUE!</v>
      </c>
      <c r="L39" s="102" t="e">
        <f t="shared" si="5"/>
        <v>#VALUE!</v>
      </c>
      <c r="M39" s="175">
        <v>3173.33</v>
      </c>
      <c r="N39" s="102" t="e">
        <f t="shared" si="6"/>
        <v>#VALUE!</v>
      </c>
      <c r="O39" s="108">
        <f t="shared" si="0"/>
        <v>22</v>
      </c>
    </row>
    <row r="40" spans="1:15">
      <c r="A40" s="87">
        <f>IF(LOOKUP(O40,PPTO!$J$8:$J$269,PPTO!A$8:A$269)=0," ",LOOKUP(O40,PPTO!$J$8:$J$269,PPTO!A$8:A$269))</f>
        <v>4</v>
      </c>
      <c r="B40" s="91" t="str">
        <f>IF(LOOKUP(O40,PPTO!$J$8:J$269,PPTO!B$8:B$269)=0," ",LOOKUP(O40,PPTO!$J$8:J$269,PPTO!B$8:B$269))</f>
        <v>TUBERIA DE ALCANTARILLADO</v>
      </c>
      <c r="C40" s="89" t="str">
        <f>IF(LOOKUP(O40,PPTO!$J$8:$J$269,PPTO!D$8:D$269)=0," ",LOOKUP(O40,PPTO!$J$8:$J$269,PPTO!D$8:D$269))</f>
        <v xml:space="preserve"> </v>
      </c>
      <c r="D40" s="90" t="str">
        <f>IF(LOOKUP(O40,PPTO!$J$8:$J$269,PPTO!E$8:E$269)=0," ",LOOKUP(O40,PPTO!$J$8:$J$269,PPTO!E$8:E$269))</f>
        <v xml:space="preserve"> </v>
      </c>
      <c r="E40" s="90" t="str">
        <f>IF(LOOKUP(O40,PPTO!$J$8:$J$269,PPTO!F$8:F$269)=0," ",LOOKUP(O40,PPTO!$J$8:$J$269,PPTO!F$8:F$269))</f>
        <v xml:space="preserve"> </v>
      </c>
      <c r="F40" s="90" t="str">
        <f>IF(LOOKUP(O40,PPTO!$J$8:$J$269,PPTO!H$8:H$269)=0," ",LOOKUP(O40,PPTO!$J$8:$J$269,PPTO!H$8:H$269))</f>
        <v xml:space="preserve"> </v>
      </c>
      <c r="G40" s="476" t="str">
        <f t="shared" si="1"/>
        <v>+</v>
      </c>
      <c r="H40" s="102">
        <f>'ACTA MODIFICACIÓN No.1'!K40</f>
        <v>0</v>
      </c>
      <c r="I40" s="102"/>
      <c r="J40" s="477" t="str">
        <f t="shared" si="2"/>
        <v>+</v>
      </c>
      <c r="K40" s="102"/>
      <c r="L40" s="102"/>
      <c r="M40" s="175"/>
      <c r="N40" s="102"/>
      <c r="O40" s="108">
        <f t="shared" si="0"/>
        <v>23</v>
      </c>
    </row>
    <row r="41" spans="1:15">
      <c r="A41" s="87" t="str">
        <f>IF(LOOKUP(O41,PPTO!$J$8:$J$269,PPTO!A$8:A$269)=0," ",LOOKUP(O41,PPTO!$J$8:$J$269,PPTO!A$8:A$269))</f>
        <v>4.01</v>
      </c>
      <c r="B41" s="91" t="str">
        <f>IF(LOOKUP(O41,PPTO!$J$8:J$269,PPTO!B$8:B$269)=0," ",LOOKUP(O41,PPTO!$J$8:J$269,PPTO!B$8:B$269))</f>
        <v xml:space="preserve"> </v>
      </c>
      <c r="C41" s="89" t="str">
        <f>IF(LOOKUP(O41,PPTO!$J$8:$J$269,PPTO!D$8:D$269)=0," ",LOOKUP(O41,PPTO!$J$8:$J$269,PPTO!D$8:D$269))</f>
        <v>ML</v>
      </c>
      <c r="D41" s="90" t="str">
        <f>IF(LOOKUP(O41,PPTO!$J$8:$J$269,PPTO!E$8:E$269)=0," ",LOOKUP(O41,PPTO!$J$8:$J$269,PPTO!E$8:E$269))</f>
        <v xml:space="preserve"> </v>
      </c>
      <c r="E41" s="90" t="str">
        <f>IF(LOOKUP(O41,PPTO!$J$8:$J$269,PPTO!F$8:F$269)=0," ",LOOKUP(O41,PPTO!$J$8:$J$269,PPTO!F$8:F$269))</f>
        <v xml:space="preserve"> </v>
      </c>
      <c r="F41" s="90" t="str">
        <f>IF(LOOKUP(O41,PPTO!$J$8:$J$269,PPTO!H$8:H$269)=0," ",LOOKUP(O41,PPTO!$J$8:$J$269,PPTO!H$8:H$269))</f>
        <v xml:space="preserve"> </v>
      </c>
      <c r="G41" s="476" t="e">
        <f t="shared" si="1"/>
        <v>#VALUE!</v>
      </c>
      <c r="H41" s="102" t="e">
        <f>'ACTA MODIFICACIÓN No.1'!K41</f>
        <v>#VALUE!</v>
      </c>
      <c r="I41" s="102" t="e">
        <f t="shared" si="3"/>
        <v>#VALUE!</v>
      </c>
      <c r="J41" s="477" t="e">
        <f t="shared" si="2"/>
        <v>#VALUE!</v>
      </c>
      <c r="K41" s="102" t="e">
        <f t="shared" si="4"/>
        <v>#VALUE!</v>
      </c>
      <c r="L41" s="102" t="e">
        <f t="shared" si="5"/>
        <v>#VALUE!</v>
      </c>
      <c r="M41" s="175">
        <v>7554</v>
      </c>
      <c r="N41" s="102" t="e">
        <f t="shared" si="6"/>
        <v>#VALUE!</v>
      </c>
      <c r="O41" s="108">
        <f t="shared" si="0"/>
        <v>24</v>
      </c>
    </row>
    <row r="42" spans="1:15">
      <c r="A42" s="87" t="str">
        <f>IF(LOOKUP(O42,PPTO!$J$8:$J$269,PPTO!A$8:A$269)=0," ",LOOKUP(O42,PPTO!$J$8:$J$269,PPTO!A$8:A$269))</f>
        <v>4.02</v>
      </c>
      <c r="B42" s="91" t="str">
        <f>IF(LOOKUP(O42,PPTO!$J$8:J$269,PPTO!B$8:B$269)=0," ",LOOKUP(O42,PPTO!$J$8:J$269,PPTO!B$8:B$269))</f>
        <v xml:space="preserve"> </v>
      </c>
      <c r="C42" s="89" t="str">
        <f>IF(LOOKUP(O42,PPTO!$J$8:$J$269,PPTO!D$8:D$269)=0," ",LOOKUP(O42,PPTO!$J$8:$J$269,PPTO!D$8:D$269))</f>
        <v>ML</v>
      </c>
      <c r="D42" s="90" t="str">
        <f>IF(LOOKUP(O42,PPTO!$J$8:$J$269,PPTO!E$8:E$269)=0," ",LOOKUP(O42,PPTO!$J$8:$J$269,PPTO!E$8:E$269))</f>
        <v xml:space="preserve"> </v>
      </c>
      <c r="E42" s="90" t="str">
        <f>IF(LOOKUP(O42,PPTO!$J$8:$J$269,PPTO!F$8:F$269)=0," ",LOOKUP(O42,PPTO!$J$8:$J$269,PPTO!F$8:F$269))</f>
        <v xml:space="preserve"> </v>
      </c>
      <c r="F42" s="90" t="str">
        <f>IF(LOOKUP(O42,PPTO!$J$8:$J$269,PPTO!H$8:H$269)=0," ",LOOKUP(O42,PPTO!$J$8:$J$269,PPTO!H$8:H$269))</f>
        <v xml:space="preserve"> </v>
      </c>
      <c r="G42" s="476" t="e">
        <f t="shared" si="1"/>
        <v>#VALUE!</v>
      </c>
      <c r="H42" s="102" t="e">
        <f>'ACTA MODIFICACIÓN No.1'!K42</f>
        <v>#VALUE!</v>
      </c>
      <c r="I42" s="102" t="e">
        <f t="shared" si="3"/>
        <v>#VALUE!</v>
      </c>
      <c r="J42" s="477" t="e">
        <f t="shared" si="2"/>
        <v>#VALUE!</v>
      </c>
      <c r="K42" s="102" t="e">
        <f t="shared" si="4"/>
        <v>#VALUE!</v>
      </c>
      <c r="L42" s="102" t="e">
        <f t="shared" si="5"/>
        <v>#VALUE!</v>
      </c>
      <c r="M42" s="175">
        <v>10629.07</v>
      </c>
      <c r="N42" s="102" t="e">
        <f t="shared" si="6"/>
        <v>#VALUE!</v>
      </c>
      <c r="O42" s="108">
        <f t="shared" si="0"/>
        <v>25</v>
      </c>
    </row>
    <row r="43" spans="1:15">
      <c r="A43" s="87" t="str">
        <f>IF(LOOKUP(O43,PPTO!$J$8:$J$269,PPTO!A$8:A$269)=0," ",LOOKUP(O43,PPTO!$J$8:$J$269,PPTO!A$8:A$269))</f>
        <v>4.03</v>
      </c>
      <c r="B43" s="91" t="str">
        <f>IF(LOOKUP(O43,PPTO!$J$8:J$269,PPTO!B$8:B$269)=0," ",LOOKUP(O43,PPTO!$J$8:J$269,PPTO!B$8:B$269))</f>
        <v xml:space="preserve"> </v>
      </c>
      <c r="C43" s="89" t="str">
        <f>IF(LOOKUP(O43,PPTO!$J$8:$J$269,PPTO!D$8:D$269)=0," ",LOOKUP(O43,PPTO!$J$8:$J$269,PPTO!D$8:D$269))</f>
        <v>ML</v>
      </c>
      <c r="D43" s="90" t="str">
        <f>IF(LOOKUP(O43,PPTO!$J$8:$J$269,PPTO!E$8:E$269)=0," ",LOOKUP(O43,PPTO!$J$8:$J$269,PPTO!E$8:E$269))</f>
        <v xml:space="preserve"> </v>
      </c>
      <c r="E43" s="90" t="str">
        <f>IF(LOOKUP(O43,PPTO!$J$8:$J$269,PPTO!F$8:F$269)=0," ",LOOKUP(O43,PPTO!$J$8:$J$269,PPTO!F$8:F$269))</f>
        <v xml:space="preserve"> </v>
      </c>
      <c r="F43" s="90" t="str">
        <f>IF(LOOKUP(O43,PPTO!$J$8:$J$269,PPTO!H$8:H$269)=0," ",LOOKUP(O43,PPTO!$J$8:$J$269,PPTO!H$8:H$269))</f>
        <v xml:space="preserve"> </v>
      </c>
      <c r="G43" s="476" t="e">
        <f t="shared" si="1"/>
        <v>#VALUE!</v>
      </c>
      <c r="H43" s="102" t="e">
        <f>'ACTA MODIFICACIÓN No.1'!K43</f>
        <v>#VALUE!</v>
      </c>
      <c r="I43" s="102" t="e">
        <f t="shared" si="3"/>
        <v>#VALUE!</v>
      </c>
      <c r="J43" s="477" t="e">
        <f t="shared" si="2"/>
        <v>#VALUE!</v>
      </c>
      <c r="K43" s="102" t="e">
        <f t="shared" si="4"/>
        <v>#VALUE!</v>
      </c>
      <c r="L43" s="102" t="e">
        <f t="shared" si="5"/>
        <v>#VALUE!</v>
      </c>
      <c r="M43" s="175">
        <v>119.02</v>
      </c>
      <c r="N43" s="102" t="e">
        <f t="shared" si="6"/>
        <v>#VALUE!</v>
      </c>
      <c r="O43" s="108">
        <f t="shared" si="0"/>
        <v>26</v>
      </c>
    </row>
    <row r="44" spans="1:15">
      <c r="A44" s="87" t="str">
        <f>IF(LOOKUP(O44,PPTO!$J$8:$J$269,PPTO!A$8:A$269)=0," ",LOOKUP(O44,PPTO!$J$8:$J$269,PPTO!A$8:A$269))</f>
        <v>4.04</v>
      </c>
      <c r="B44" s="91" t="str">
        <f>IF(LOOKUP(O44,PPTO!$J$8:J$269,PPTO!B$8:B$269)=0," ",LOOKUP(O44,PPTO!$J$8:J$269,PPTO!B$8:B$269))</f>
        <v xml:space="preserve"> </v>
      </c>
      <c r="C44" s="89" t="str">
        <f>IF(LOOKUP(O44,PPTO!$J$8:$J$269,PPTO!D$8:D$269)=0," ",LOOKUP(O44,PPTO!$J$8:$J$269,PPTO!D$8:D$269))</f>
        <v>ML</v>
      </c>
      <c r="D44" s="90" t="str">
        <f>IF(LOOKUP(O44,PPTO!$J$8:$J$269,PPTO!E$8:E$269)=0," ",LOOKUP(O44,PPTO!$J$8:$J$269,PPTO!E$8:E$269))</f>
        <v xml:space="preserve"> </v>
      </c>
      <c r="E44" s="90" t="str">
        <f>IF(LOOKUP(O44,PPTO!$J$8:$J$269,PPTO!F$8:F$269)=0," ",LOOKUP(O44,PPTO!$J$8:$J$269,PPTO!F$8:F$269))</f>
        <v xml:space="preserve"> </v>
      </c>
      <c r="F44" s="90" t="str">
        <f>IF(LOOKUP(O44,PPTO!$J$8:$J$269,PPTO!H$8:H$269)=0," ",LOOKUP(O44,PPTO!$J$8:$J$269,PPTO!H$8:H$269))</f>
        <v xml:space="preserve"> </v>
      </c>
      <c r="G44" s="476" t="e">
        <f t="shared" si="1"/>
        <v>#VALUE!</v>
      </c>
      <c r="H44" s="102" t="e">
        <f>'ACTA MODIFICACIÓN No.1'!K44</f>
        <v>#VALUE!</v>
      </c>
      <c r="I44" s="102" t="e">
        <f t="shared" si="3"/>
        <v>#VALUE!</v>
      </c>
      <c r="J44" s="477" t="e">
        <f t="shared" si="2"/>
        <v>#VALUE!</v>
      </c>
      <c r="K44" s="102" t="e">
        <f t="shared" si="4"/>
        <v>#VALUE!</v>
      </c>
      <c r="L44" s="102" t="e">
        <f t="shared" si="5"/>
        <v>#VALUE!</v>
      </c>
      <c r="M44" s="175">
        <v>293.73</v>
      </c>
      <c r="N44" s="102" t="e">
        <f t="shared" si="6"/>
        <v>#VALUE!</v>
      </c>
      <c r="O44" s="108">
        <f t="shared" si="0"/>
        <v>27</v>
      </c>
    </row>
    <row r="45" spans="1:15">
      <c r="A45" s="87" t="str">
        <f>IF(LOOKUP(O45,PPTO!$J$8:$J$269,PPTO!A$8:A$269)=0," ",LOOKUP(O45,PPTO!$J$8:$J$269,PPTO!A$8:A$269))</f>
        <v>4.05</v>
      </c>
      <c r="B45" s="91" t="str">
        <f>IF(LOOKUP(O45,PPTO!$J$8:J$269,PPTO!B$8:B$269)=0," ",LOOKUP(O45,PPTO!$J$8:J$269,PPTO!B$8:B$269))</f>
        <v xml:space="preserve"> </v>
      </c>
      <c r="C45" s="89" t="str">
        <f>IF(LOOKUP(O45,PPTO!$J$8:$J$269,PPTO!D$8:D$269)=0," ",LOOKUP(O45,PPTO!$J$8:$J$269,PPTO!D$8:D$269))</f>
        <v>ML</v>
      </c>
      <c r="D45" s="90" t="str">
        <f>IF(LOOKUP(O45,PPTO!$J$8:$J$269,PPTO!E$8:E$269)=0," ",LOOKUP(O45,PPTO!$J$8:$J$269,PPTO!E$8:E$269))</f>
        <v xml:space="preserve"> </v>
      </c>
      <c r="E45" s="90" t="str">
        <f>IF(LOOKUP(O45,PPTO!$J$8:$J$269,PPTO!F$8:F$269)=0," ",LOOKUP(O45,PPTO!$J$8:$J$269,PPTO!F$8:F$269))</f>
        <v xml:space="preserve"> </v>
      </c>
      <c r="F45" s="90" t="str">
        <f>IF(LOOKUP(O45,PPTO!$J$8:$J$269,PPTO!H$8:H$269)=0," ",LOOKUP(O45,PPTO!$J$8:$J$269,PPTO!H$8:H$269))</f>
        <v xml:space="preserve"> </v>
      </c>
      <c r="G45" s="476" t="e">
        <f t="shared" si="1"/>
        <v>#VALUE!</v>
      </c>
      <c r="H45" s="102" t="e">
        <f>'ACTA MODIFICACIÓN No.1'!K45</f>
        <v>#VALUE!</v>
      </c>
      <c r="I45" s="102" t="e">
        <f t="shared" si="3"/>
        <v>#VALUE!</v>
      </c>
      <c r="J45" s="477" t="e">
        <f t="shared" si="2"/>
        <v>#VALUE!</v>
      </c>
      <c r="K45" s="102" t="e">
        <f t="shared" si="4"/>
        <v>#VALUE!</v>
      </c>
      <c r="L45" s="102" t="e">
        <f t="shared" si="5"/>
        <v>#VALUE!</v>
      </c>
      <c r="M45" s="175">
        <v>912.33</v>
      </c>
      <c r="N45" s="102" t="e">
        <f t="shared" si="6"/>
        <v>#VALUE!</v>
      </c>
      <c r="O45" s="108">
        <f t="shared" si="0"/>
        <v>28</v>
      </c>
    </row>
    <row r="46" spans="1:15">
      <c r="A46" s="87" t="str">
        <f>IF(LOOKUP(O46,PPTO!$J$8:$J$269,PPTO!A$8:A$269)=0," ",LOOKUP(O46,PPTO!$J$8:$J$269,PPTO!A$8:A$269))</f>
        <v>4.06</v>
      </c>
      <c r="B46" s="91" t="str">
        <f>IF(LOOKUP(O46,PPTO!$J$8:J$269,PPTO!B$8:B$269)=0," ",LOOKUP(O46,PPTO!$J$8:J$269,PPTO!B$8:B$269))</f>
        <v xml:space="preserve"> </v>
      </c>
      <c r="C46" s="89" t="str">
        <f>IF(LOOKUP(O46,PPTO!$J$8:$J$269,PPTO!D$8:D$269)=0," ",LOOKUP(O46,PPTO!$J$8:$J$269,PPTO!D$8:D$269))</f>
        <v>UND</v>
      </c>
      <c r="D46" s="90" t="str">
        <f>IF(LOOKUP(O46,PPTO!$J$8:$J$269,PPTO!E$8:E$269)=0," ",LOOKUP(O46,PPTO!$J$8:$J$269,PPTO!E$8:E$269))</f>
        <v xml:space="preserve"> </v>
      </c>
      <c r="E46" s="90" t="str">
        <f>IF(LOOKUP(O46,PPTO!$J$8:$J$269,PPTO!F$8:F$269)=0," ",LOOKUP(O46,PPTO!$J$8:$J$269,PPTO!F$8:F$269))</f>
        <v xml:space="preserve"> </v>
      </c>
      <c r="F46" s="90" t="str">
        <f>IF(LOOKUP(O46,PPTO!$J$8:$J$269,PPTO!H$8:H$269)=0," ",LOOKUP(O46,PPTO!$J$8:$J$269,PPTO!H$8:H$269))</f>
        <v xml:space="preserve"> </v>
      </c>
      <c r="G46" s="476" t="e">
        <f t="shared" si="1"/>
        <v>#VALUE!</v>
      </c>
      <c r="H46" s="102" t="e">
        <f>'ACTA MODIFICACIÓN No.1'!K46</f>
        <v>#VALUE!</v>
      </c>
      <c r="I46" s="102" t="e">
        <f t="shared" si="3"/>
        <v>#VALUE!</v>
      </c>
      <c r="J46" s="477" t="e">
        <f t="shared" si="2"/>
        <v>#VALUE!</v>
      </c>
      <c r="K46" s="102" t="e">
        <f t="shared" si="4"/>
        <v>#VALUE!</v>
      </c>
      <c r="L46" s="102" t="e">
        <f t="shared" si="5"/>
        <v>#VALUE!</v>
      </c>
      <c r="M46" s="175">
        <v>1259</v>
      </c>
      <c r="N46" s="102" t="e">
        <f t="shared" si="6"/>
        <v>#VALUE!</v>
      </c>
      <c r="O46" s="108">
        <f t="shared" si="0"/>
        <v>29</v>
      </c>
    </row>
    <row r="47" spans="1:15">
      <c r="A47" s="87" t="str">
        <f>IF(LOOKUP(O47,PPTO!$J$8:$J$269,PPTO!A$8:A$269)=0," ",LOOKUP(O47,PPTO!$J$8:$J$269,PPTO!A$8:A$269))</f>
        <v>4.09</v>
      </c>
      <c r="B47" s="91" t="str">
        <f>IF(LOOKUP(O47,PPTO!$J$8:J$269,PPTO!B$8:B$269)=0," ",LOOKUP(O47,PPTO!$J$8:J$269,PPTO!B$8:B$269))</f>
        <v xml:space="preserve"> </v>
      </c>
      <c r="C47" s="89" t="str">
        <f>IF(LOOKUP(O47,PPTO!$J$8:$J$269,PPTO!D$8:D$269)=0," ",LOOKUP(O47,PPTO!$J$8:$J$269,PPTO!D$8:D$269))</f>
        <v>M3</v>
      </c>
      <c r="D47" s="90" t="str">
        <f>IF(LOOKUP(O47,PPTO!$J$8:$J$269,PPTO!E$8:E$269)=0," ",LOOKUP(O47,PPTO!$J$8:$J$269,PPTO!E$8:E$269))</f>
        <v xml:space="preserve"> </v>
      </c>
      <c r="E47" s="90" t="str">
        <f>IF(LOOKUP(O47,PPTO!$J$8:$J$269,PPTO!F$8:F$269)=0," ",LOOKUP(O47,PPTO!$J$8:$J$269,PPTO!F$8:F$269))</f>
        <v xml:space="preserve"> </v>
      </c>
      <c r="F47" s="90" t="str">
        <f>IF(LOOKUP(O47,PPTO!$J$8:$J$269,PPTO!H$8:H$269)=0," ",LOOKUP(O47,PPTO!$J$8:$J$269,PPTO!H$8:H$269))</f>
        <v xml:space="preserve"> </v>
      </c>
      <c r="G47" s="476" t="e">
        <f t="shared" si="1"/>
        <v>#VALUE!</v>
      </c>
      <c r="H47" s="102" t="e">
        <f>'ACTA MODIFICACIÓN No.1'!K47</f>
        <v>#VALUE!</v>
      </c>
      <c r="I47" s="102" t="e">
        <f t="shared" si="3"/>
        <v>#VALUE!</v>
      </c>
      <c r="J47" s="477" t="e">
        <f t="shared" si="2"/>
        <v>#VALUE!</v>
      </c>
      <c r="K47" s="102" t="e">
        <f t="shared" si="4"/>
        <v>#VALUE!</v>
      </c>
      <c r="L47" s="102" t="e">
        <f t="shared" si="5"/>
        <v>#VALUE!</v>
      </c>
      <c r="M47" s="175">
        <v>453.24</v>
      </c>
      <c r="N47" s="102" t="e">
        <f t="shared" si="6"/>
        <v>#VALUE!</v>
      </c>
      <c r="O47" s="108">
        <f t="shared" si="0"/>
        <v>30</v>
      </c>
    </row>
    <row r="48" spans="1:15">
      <c r="A48" s="87" t="str">
        <f>IF(LOOKUP(O48,PPTO!$J$8:$J$269,PPTO!A$8:A$269)=0," ",LOOKUP(O48,PPTO!$J$8:$J$269,PPTO!A$8:A$269))</f>
        <v>4.10</v>
      </c>
      <c r="B48" s="91" t="str">
        <f>IF(LOOKUP(O48,PPTO!$J$8:J$269,PPTO!B$8:B$269)=0," ",LOOKUP(O48,PPTO!$J$8:J$269,PPTO!B$8:B$269))</f>
        <v xml:space="preserve"> </v>
      </c>
      <c r="C48" s="89" t="str">
        <f>IF(LOOKUP(O48,PPTO!$J$8:$J$269,PPTO!D$8:D$269)=0," ",LOOKUP(O48,PPTO!$J$8:$J$269,PPTO!D$8:D$269))</f>
        <v>M3</v>
      </c>
      <c r="D48" s="90" t="str">
        <f>IF(LOOKUP(O48,PPTO!$J$8:$J$269,PPTO!E$8:E$269)=0," ",LOOKUP(O48,PPTO!$J$8:$J$269,PPTO!E$8:E$269))</f>
        <v xml:space="preserve"> </v>
      </c>
      <c r="E48" s="90" t="str">
        <f>IF(LOOKUP(O48,PPTO!$J$8:$J$269,PPTO!F$8:F$269)=0," ",LOOKUP(O48,PPTO!$J$8:$J$269,PPTO!F$8:F$269))</f>
        <v xml:space="preserve"> </v>
      </c>
      <c r="F48" s="90" t="str">
        <f>IF(LOOKUP(O48,PPTO!$J$8:$J$269,PPTO!H$8:H$269)=0," ",LOOKUP(O48,PPTO!$J$8:$J$269,PPTO!H$8:H$269))</f>
        <v xml:space="preserve"> </v>
      </c>
      <c r="G48" s="476" t="e">
        <f t="shared" si="1"/>
        <v>#VALUE!</v>
      </c>
      <c r="H48" s="102" t="e">
        <f>'ACTA MODIFICACIÓN No.1'!K48</f>
        <v>#VALUE!</v>
      </c>
      <c r="I48" s="102" t="e">
        <f t="shared" si="3"/>
        <v>#VALUE!</v>
      </c>
      <c r="J48" s="477" t="e">
        <f t="shared" si="2"/>
        <v>#VALUE!</v>
      </c>
      <c r="K48" s="102" t="e">
        <f t="shared" si="4"/>
        <v>#VALUE!</v>
      </c>
      <c r="L48" s="102" t="e">
        <f t="shared" si="5"/>
        <v>#VALUE!</v>
      </c>
      <c r="M48" s="175">
        <v>2381.3200000000002</v>
      </c>
      <c r="N48" s="102" t="e">
        <f t="shared" si="6"/>
        <v>#VALUE!</v>
      </c>
      <c r="O48" s="108">
        <f t="shared" si="0"/>
        <v>31</v>
      </c>
    </row>
    <row r="49" spans="1:15">
      <c r="A49" s="87">
        <f>IF(LOOKUP(O49,PPTO!$J$8:$J$269,PPTO!A$8:A$269)=0," ",LOOKUP(O49,PPTO!$J$8:$J$269,PPTO!A$8:A$269))</f>
        <v>5</v>
      </c>
      <c r="B49" s="91" t="str">
        <f>IF(LOOKUP(O49,PPTO!$J$8:J$269,PPTO!B$8:B$269)=0," ",LOOKUP(O49,PPTO!$J$8:J$269,PPTO!B$8:B$269))</f>
        <v>ESTRUCTURAS SANITARIAS EN CONCRETO</v>
      </c>
      <c r="C49" s="89" t="str">
        <f>IF(LOOKUP(O49,PPTO!$J$8:$J$269,PPTO!D$8:D$269)=0," ",LOOKUP(O49,PPTO!$J$8:$J$269,PPTO!D$8:D$269))</f>
        <v xml:space="preserve"> </v>
      </c>
      <c r="D49" s="90" t="str">
        <f>IF(LOOKUP(O49,PPTO!$J$8:$J$269,PPTO!E$8:E$269)=0," ",LOOKUP(O49,PPTO!$J$8:$J$269,PPTO!E$8:E$269))</f>
        <v xml:space="preserve"> </v>
      </c>
      <c r="E49" s="90" t="str">
        <f>IF(LOOKUP(O49,PPTO!$J$8:$J$269,PPTO!F$8:F$269)=0," ",LOOKUP(O49,PPTO!$J$8:$J$269,PPTO!F$8:F$269))</f>
        <v xml:space="preserve"> </v>
      </c>
      <c r="F49" s="90" t="str">
        <f>IF(LOOKUP(O49,PPTO!$J$8:$J$269,PPTO!H$8:H$269)=0," ",LOOKUP(O49,PPTO!$J$8:$J$269,PPTO!H$8:H$269))</f>
        <v xml:space="preserve"> </v>
      </c>
      <c r="G49" s="476" t="str">
        <f t="shared" si="1"/>
        <v>+</v>
      </c>
      <c r="H49" s="102">
        <f>'ACTA MODIFICACIÓN No.1'!K49</f>
        <v>0</v>
      </c>
      <c r="I49" s="102"/>
      <c r="J49" s="477" t="str">
        <f t="shared" si="2"/>
        <v>+</v>
      </c>
      <c r="K49" s="102"/>
      <c r="L49" s="102"/>
      <c r="M49" s="175"/>
      <c r="N49" s="102"/>
      <c r="O49" s="108">
        <f t="shared" si="0"/>
        <v>32</v>
      </c>
    </row>
    <row r="50" spans="1:15">
      <c r="A50" s="87" t="str">
        <f>IF(LOOKUP(O50,PPTO!$J$8:$J$269,PPTO!A$8:A$269)=0," ",LOOKUP(O50,PPTO!$J$8:$J$269,PPTO!A$8:A$269))</f>
        <v>5.01</v>
      </c>
      <c r="B50" s="91" t="str">
        <f>IF(LOOKUP(O50,PPTO!$J$8:J$269,PPTO!B$8:B$269)=0," ",LOOKUP(O50,PPTO!$J$8:J$269,PPTO!B$8:B$269))</f>
        <v xml:space="preserve"> </v>
      </c>
      <c r="C50" s="89" t="str">
        <f>IF(LOOKUP(O50,PPTO!$J$8:$J$269,PPTO!D$8:D$269)=0," ",LOOKUP(O50,PPTO!$J$8:$J$269,PPTO!D$8:D$269))</f>
        <v>M3</v>
      </c>
      <c r="D50" s="90" t="str">
        <f>IF(LOOKUP(O50,PPTO!$J$8:$J$269,PPTO!E$8:E$269)=0," ",LOOKUP(O50,PPTO!$J$8:$J$269,PPTO!E$8:E$269))</f>
        <v xml:space="preserve"> </v>
      </c>
      <c r="E50" s="90" t="str">
        <f>IF(LOOKUP(O50,PPTO!$J$8:$J$269,PPTO!F$8:F$269)=0," ",LOOKUP(O50,PPTO!$J$8:$J$269,PPTO!F$8:F$269))</f>
        <v xml:space="preserve"> </v>
      </c>
      <c r="F50" s="90" t="str">
        <f>IF(LOOKUP(O50,PPTO!$J$8:$J$269,PPTO!H$8:H$269)=0," ",LOOKUP(O50,PPTO!$J$8:$J$269,PPTO!H$8:H$269))</f>
        <v xml:space="preserve"> </v>
      </c>
      <c r="G50" s="476" t="e">
        <f t="shared" si="1"/>
        <v>#VALUE!</v>
      </c>
      <c r="H50" s="102" t="e">
        <f>'ACTA MODIFICACIÓN No.1'!K50</f>
        <v>#VALUE!</v>
      </c>
      <c r="I50" s="102" t="e">
        <f t="shared" si="3"/>
        <v>#VALUE!</v>
      </c>
      <c r="J50" s="477" t="e">
        <f t="shared" si="2"/>
        <v>#VALUE!</v>
      </c>
      <c r="K50" s="102" t="e">
        <f t="shared" si="4"/>
        <v>#VALUE!</v>
      </c>
      <c r="L50" s="102" t="e">
        <f t="shared" si="5"/>
        <v>#VALUE!</v>
      </c>
      <c r="M50" s="175">
        <v>293.73</v>
      </c>
      <c r="N50" s="102" t="e">
        <f t="shared" si="6"/>
        <v>#VALUE!</v>
      </c>
      <c r="O50" s="108">
        <f t="shared" si="0"/>
        <v>33</v>
      </c>
    </row>
    <row r="51" spans="1:15">
      <c r="A51" s="87" t="str">
        <f>IF(LOOKUP(O51,PPTO!$J$8:$J$269,PPTO!A$8:A$269)=0," ",LOOKUP(O51,PPTO!$J$8:$J$269,PPTO!A$8:A$269))</f>
        <v>5.02</v>
      </c>
      <c r="B51" s="91" t="str">
        <f>IF(LOOKUP(O51,PPTO!$J$8:J$269,PPTO!B$8:B$269)=0," ",LOOKUP(O51,PPTO!$J$8:J$269,PPTO!B$8:B$269))</f>
        <v xml:space="preserve"> </v>
      </c>
      <c r="C51" s="89" t="str">
        <f>IF(LOOKUP(O51,PPTO!$J$8:$J$269,PPTO!D$8:D$269)=0," ",LOOKUP(O51,PPTO!$J$8:$J$269,PPTO!D$8:D$269))</f>
        <v>UND</v>
      </c>
      <c r="D51" s="90" t="str">
        <f>IF(LOOKUP(O51,PPTO!$J$8:$J$269,PPTO!E$8:E$269)=0," ",LOOKUP(O51,PPTO!$J$8:$J$269,PPTO!E$8:E$269))</f>
        <v xml:space="preserve"> </v>
      </c>
      <c r="E51" s="90" t="str">
        <f>IF(LOOKUP(O51,PPTO!$J$8:$J$269,PPTO!F$8:F$269)=0," ",LOOKUP(O51,PPTO!$J$8:$J$269,PPTO!F$8:F$269))</f>
        <v xml:space="preserve"> </v>
      </c>
      <c r="F51" s="90" t="str">
        <f>IF(LOOKUP(O51,PPTO!$J$8:$J$269,PPTO!H$8:H$269)=0," ",LOOKUP(O51,PPTO!$J$8:$J$269,PPTO!H$8:H$269))</f>
        <v xml:space="preserve"> </v>
      </c>
      <c r="G51" s="476" t="e">
        <f t="shared" si="1"/>
        <v>#VALUE!</v>
      </c>
      <c r="H51" s="102" t="e">
        <f>'ACTA MODIFICACIÓN No.1'!K51</f>
        <v>#VALUE!</v>
      </c>
      <c r="I51" s="102" t="e">
        <f t="shared" si="3"/>
        <v>#VALUE!</v>
      </c>
      <c r="J51" s="477" t="e">
        <f t="shared" si="2"/>
        <v>#VALUE!</v>
      </c>
      <c r="K51" s="102" t="e">
        <f t="shared" si="4"/>
        <v>#VALUE!</v>
      </c>
      <c r="L51" s="102" t="e">
        <f t="shared" si="5"/>
        <v>#VALUE!</v>
      </c>
      <c r="M51" s="175">
        <v>912.33</v>
      </c>
      <c r="N51" s="102" t="e">
        <f t="shared" si="6"/>
        <v>#VALUE!</v>
      </c>
      <c r="O51" s="108">
        <f t="shared" si="0"/>
        <v>34</v>
      </c>
    </row>
    <row r="52" spans="1:15">
      <c r="A52" s="87" t="str">
        <f>IF(LOOKUP(O52,PPTO!$J$8:$J$269,PPTO!A$8:A$269)=0," ",LOOKUP(O52,PPTO!$J$8:$J$269,PPTO!A$8:A$269))</f>
        <v>5.03</v>
      </c>
      <c r="B52" s="91" t="str">
        <f>IF(LOOKUP(O52,PPTO!$J$8:J$269,PPTO!B$8:B$269)=0," ",LOOKUP(O52,PPTO!$J$8:J$269,PPTO!B$8:B$269))</f>
        <v xml:space="preserve"> </v>
      </c>
      <c r="C52" s="89" t="str">
        <f>IF(LOOKUP(O52,PPTO!$J$8:$J$269,PPTO!D$8:D$269)=0," ",LOOKUP(O52,PPTO!$J$8:$J$269,PPTO!D$8:D$269))</f>
        <v>UND</v>
      </c>
      <c r="D52" s="90" t="str">
        <f>IF(LOOKUP(O52,PPTO!$J$8:$J$269,PPTO!E$8:E$269)=0," ",LOOKUP(O52,PPTO!$J$8:$J$269,PPTO!E$8:E$269))</f>
        <v xml:space="preserve"> </v>
      </c>
      <c r="E52" s="90" t="str">
        <f>IF(LOOKUP(O52,PPTO!$J$8:$J$269,PPTO!F$8:F$269)=0," ",LOOKUP(O52,PPTO!$J$8:$J$269,PPTO!F$8:F$269))</f>
        <v xml:space="preserve"> </v>
      </c>
      <c r="F52" s="90" t="str">
        <f>IF(LOOKUP(O52,PPTO!$J$8:$J$269,PPTO!H$8:H$269)=0," ",LOOKUP(O52,PPTO!$J$8:$J$269,PPTO!H$8:H$269))</f>
        <v xml:space="preserve"> </v>
      </c>
      <c r="G52" s="476" t="e">
        <f t="shared" si="1"/>
        <v>#VALUE!</v>
      </c>
      <c r="H52" s="102" t="e">
        <f>'ACTA MODIFICACIÓN No.1'!K52</f>
        <v>#VALUE!</v>
      </c>
      <c r="I52" s="102" t="e">
        <f t="shared" si="3"/>
        <v>#VALUE!</v>
      </c>
      <c r="J52" s="477" t="e">
        <f t="shared" si="2"/>
        <v>#VALUE!</v>
      </c>
      <c r="K52" s="102" t="e">
        <f t="shared" si="4"/>
        <v>#VALUE!</v>
      </c>
      <c r="L52" s="102" t="e">
        <f t="shared" si="5"/>
        <v>#VALUE!</v>
      </c>
      <c r="M52" s="175">
        <v>1259</v>
      </c>
      <c r="N52" s="102" t="e">
        <f t="shared" si="6"/>
        <v>#VALUE!</v>
      </c>
      <c r="O52" s="108">
        <f t="shared" si="0"/>
        <v>35</v>
      </c>
    </row>
    <row r="53" spans="1:15">
      <c r="A53" s="87" t="str">
        <f>IF(LOOKUP(O53,PPTO!$J$8:$J$269,PPTO!A$8:A$269)=0," ",LOOKUP(O53,PPTO!$J$8:$J$269,PPTO!A$8:A$269))</f>
        <v>5.04</v>
      </c>
      <c r="B53" s="91" t="str">
        <f>IF(LOOKUP(O53,PPTO!$J$8:J$269,PPTO!B$8:B$269)=0," ",LOOKUP(O53,PPTO!$J$8:J$269,PPTO!B$8:B$269))</f>
        <v xml:space="preserve"> </v>
      </c>
      <c r="C53" s="89" t="str">
        <f>IF(LOOKUP(O53,PPTO!$J$8:$J$269,PPTO!D$8:D$269)=0," ",LOOKUP(O53,PPTO!$J$8:$J$269,PPTO!D$8:D$269))</f>
        <v>UND</v>
      </c>
      <c r="D53" s="90" t="str">
        <f>IF(LOOKUP(O53,PPTO!$J$8:$J$269,PPTO!E$8:E$269)=0," ",LOOKUP(O53,PPTO!$J$8:$J$269,PPTO!E$8:E$269))</f>
        <v xml:space="preserve"> </v>
      </c>
      <c r="E53" s="90" t="str">
        <f>IF(LOOKUP(O53,PPTO!$J$8:$J$269,PPTO!F$8:F$269)=0," ",LOOKUP(O53,PPTO!$J$8:$J$269,PPTO!F$8:F$269))</f>
        <v xml:space="preserve"> </v>
      </c>
      <c r="F53" s="90" t="str">
        <f>IF(LOOKUP(O53,PPTO!$J$8:$J$269,PPTO!H$8:H$269)=0," ",LOOKUP(O53,PPTO!$J$8:$J$269,PPTO!H$8:H$269))</f>
        <v xml:space="preserve"> </v>
      </c>
      <c r="G53" s="476" t="e">
        <f t="shared" si="1"/>
        <v>#VALUE!</v>
      </c>
      <c r="H53" s="102" t="e">
        <f>'ACTA MODIFICACIÓN No.1'!K53</f>
        <v>#VALUE!</v>
      </c>
      <c r="I53" s="102" t="e">
        <f t="shared" si="3"/>
        <v>#VALUE!</v>
      </c>
      <c r="J53" s="477" t="e">
        <f t="shared" si="2"/>
        <v>#VALUE!</v>
      </c>
      <c r="K53" s="102" t="e">
        <f t="shared" si="4"/>
        <v>#VALUE!</v>
      </c>
      <c r="L53" s="102" t="e">
        <f t="shared" si="5"/>
        <v>#VALUE!</v>
      </c>
      <c r="M53" s="175">
        <v>140</v>
      </c>
      <c r="N53" s="102" t="e">
        <f t="shared" si="6"/>
        <v>#VALUE!</v>
      </c>
      <c r="O53" s="108">
        <f t="shared" si="0"/>
        <v>36</v>
      </c>
    </row>
    <row r="54" spans="1:15">
      <c r="A54" s="87" t="str">
        <f>IF(LOOKUP(O54,PPTO!$J$8:$J$269,PPTO!A$8:A$269)=0," ",LOOKUP(O54,PPTO!$J$8:$J$269,PPTO!A$8:A$269))</f>
        <v>5.05</v>
      </c>
      <c r="B54" s="91" t="str">
        <f>IF(LOOKUP(O54,PPTO!$J$8:J$269,PPTO!B$8:B$269)=0," ",LOOKUP(O54,PPTO!$J$8:J$269,PPTO!B$8:B$269))</f>
        <v xml:space="preserve"> </v>
      </c>
      <c r="C54" s="89" t="str">
        <f>IF(LOOKUP(O54,PPTO!$J$8:$J$269,PPTO!D$8:D$269)=0," ",LOOKUP(O54,PPTO!$J$8:$J$269,PPTO!D$8:D$269))</f>
        <v>UND</v>
      </c>
      <c r="D54" s="90" t="str">
        <f>IF(LOOKUP(O54,PPTO!$J$8:$J$269,PPTO!E$8:E$269)=0," ",LOOKUP(O54,PPTO!$J$8:$J$269,PPTO!E$8:E$269))</f>
        <v xml:space="preserve"> </v>
      </c>
      <c r="E54" s="90" t="str">
        <f>IF(LOOKUP(O54,PPTO!$J$8:$J$269,PPTO!F$8:F$269)=0," ",LOOKUP(O54,PPTO!$J$8:$J$269,PPTO!F$8:F$269))</f>
        <v xml:space="preserve"> </v>
      </c>
      <c r="F54" s="90" t="str">
        <f>IF(LOOKUP(O54,PPTO!$J$8:$J$269,PPTO!H$8:H$269)=0," ",LOOKUP(O54,PPTO!$J$8:$J$269,PPTO!H$8:H$269))</f>
        <v xml:space="preserve"> </v>
      </c>
      <c r="G54" s="476" t="e">
        <f t="shared" si="1"/>
        <v>#VALUE!</v>
      </c>
      <c r="H54" s="102" t="e">
        <f>'ACTA MODIFICACIÓN No.1'!K54</f>
        <v>#VALUE!</v>
      </c>
      <c r="I54" s="102" t="e">
        <f t="shared" si="3"/>
        <v>#VALUE!</v>
      </c>
      <c r="J54" s="477" t="e">
        <f t="shared" si="2"/>
        <v>#VALUE!</v>
      </c>
      <c r="K54" s="102" t="e">
        <f t="shared" si="4"/>
        <v>#VALUE!</v>
      </c>
      <c r="L54" s="102" t="e">
        <f t="shared" si="5"/>
        <v>#VALUE!</v>
      </c>
      <c r="M54" s="175">
        <v>84</v>
      </c>
      <c r="N54" s="102" t="e">
        <f t="shared" si="6"/>
        <v>#VALUE!</v>
      </c>
      <c r="O54" s="108">
        <f t="shared" si="0"/>
        <v>37</v>
      </c>
    </row>
    <row r="55" spans="1:15">
      <c r="A55" s="87" t="str">
        <f>IF(LOOKUP(O55,PPTO!$J$8:$J$269,PPTO!A$8:A$269)=0," ",LOOKUP(O55,PPTO!$J$8:$J$269,PPTO!A$8:A$269))</f>
        <v>5.06</v>
      </c>
      <c r="B55" s="91" t="str">
        <f>IF(LOOKUP(O55,PPTO!$J$8:J$269,PPTO!B$8:B$269)=0," ",LOOKUP(O55,PPTO!$J$8:J$269,PPTO!B$8:B$269))</f>
        <v xml:space="preserve"> </v>
      </c>
      <c r="C55" s="89" t="str">
        <f>IF(LOOKUP(O55,PPTO!$J$8:$J$269,PPTO!D$8:D$269)=0," ",LOOKUP(O55,PPTO!$J$8:$J$269,PPTO!D$8:D$269))</f>
        <v>UND</v>
      </c>
      <c r="D55" s="90" t="str">
        <f>IF(LOOKUP(O55,PPTO!$J$8:$J$269,PPTO!E$8:E$269)=0," ",LOOKUP(O55,PPTO!$J$8:$J$269,PPTO!E$8:E$269))</f>
        <v xml:space="preserve"> </v>
      </c>
      <c r="E55" s="90" t="str">
        <f>IF(LOOKUP(O55,PPTO!$J$8:$J$269,PPTO!F$8:F$269)=0," ",LOOKUP(O55,PPTO!$J$8:$J$269,PPTO!F$8:F$269))</f>
        <v xml:space="preserve"> </v>
      </c>
      <c r="F55" s="90" t="str">
        <f>IF(LOOKUP(O55,PPTO!$J$8:$J$269,PPTO!H$8:H$269)=0," ",LOOKUP(O55,PPTO!$J$8:$J$269,PPTO!H$8:H$269))</f>
        <v xml:space="preserve"> </v>
      </c>
      <c r="G55" s="476" t="e">
        <f t="shared" si="1"/>
        <v>#VALUE!</v>
      </c>
      <c r="H55" s="102" t="e">
        <f>'ACTA MODIFICACIÓN No.1'!K55</f>
        <v>#VALUE!</v>
      </c>
      <c r="I55" s="102" t="e">
        <f t="shared" si="3"/>
        <v>#VALUE!</v>
      </c>
      <c r="J55" s="477" t="e">
        <f t="shared" si="2"/>
        <v>#VALUE!</v>
      </c>
      <c r="K55" s="102" t="e">
        <f t="shared" si="4"/>
        <v>#VALUE!</v>
      </c>
      <c r="L55" s="102" t="e">
        <f t="shared" si="5"/>
        <v>#VALUE!</v>
      </c>
      <c r="M55" s="175">
        <v>19</v>
      </c>
      <c r="N55" s="102" t="e">
        <f t="shared" si="6"/>
        <v>#VALUE!</v>
      </c>
      <c r="O55" s="108">
        <f t="shared" si="0"/>
        <v>38</v>
      </c>
    </row>
    <row r="56" spans="1:15">
      <c r="A56" s="87">
        <f>IF(LOOKUP(O56,PPTO!$J$8:$J$269,PPTO!A$8:A$269)=0," ",LOOKUP(O56,PPTO!$J$8:$J$269,PPTO!A$8:A$269))</f>
        <v>6</v>
      </c>
      <c r="B56" s="91" t="str">
        <f>IF(LOOKUP(O56,PPTO!$J$8:J$269,PPTO!B$8:B$269)=0," ",LOOKUP(O56,PPTO!$J$8:J$269,PPTO!B$8:B$269))</f>
        <v>CONSTRUCCION DE PAVIMENTOS</v>
      </c>
      <c r="C56" s="89" t="str">
        <f>IF(LOOKUP(O56,PPTO!$J$8:$J$269,PPTO!D$8:D$269)=0," ",LOOKUP(O56,PPTO!$J$8:$J$269,PPTO!D$8:D$269))</f>
        <v xml:space="preserve"> </v>
      </c>
      <c r="D56" s="90" t="str">
        <f>IF(LOOKUP(O56,PPTO!$J$8:$J$269,PPTO!E$8:E$269)=0," ",LOOKUP(O56,PPTO!$J$8:$J$269,PPTO!E$8:E$269))</f>
        <v xml:space="preserve"> </v>
      </c>
      <c r="E56" s="90" t="str">
        <f>IF(LOOKUP(O56,PPTO!$J$8:$J$269,PPTO!F$8:F$269)=0," ",LOOKUP(O56,PPTO!$J$8:$J$269,PPTO!F$8:F$269))</f>
        <v xml:space="preserve"> </v>
      </c>
      <c r="F56" s="90" t="str">
        <f>IF(LOOKUP(O56,PPTO!$J$8:$J$269,PPTO!H$8:H$269)=0," ",LOOKUP(O56,PPTO!$J$8:$J$269,PPTO!H$8:H$269))</f>
        <v xml:space="preserve"> </v>
      </c>
      <c r="G56" s="476" t="str">
        <f t="shared" si="1"/>
        <v>+</v>
      </c>
      <c r="H56" s="102">
        <f>'ACTA MODIFICACIÓN No.1'!K56</f>
        <v>0</v>
      </c>
      <c r="I56" s="102"/>
      <c r="J56" s="477" t="str">
        <f t="shared" si="2"/>
        <v>+</v>
      </c>
      <c r="K56" s="102"/>
      <c r="L56" s="102"/>
      <c r="M56" s="175"/>
      <c r="N56" s="102"/>
      <c r="O56" s="108">
        <f t="shared" si="0"/>
        <v>39</v>
      </c>
    </row>
    <row r="57" spans="1:15">
      <c r="A57" s="87" t="str">
        <f>IF(LOOKUP(O57,PPTO!$J$8:$J$269,PPTO!A$8:A$269)=0," ",LOOKUP(O57,PPTO!$J$8:$J$269,PPTO!A$8:A$269))</f>
        <v>6.01</v>
      </c>
      <c r="B57" s="91" t="str">
        <f>IF(LOOKUP(O57,PPTO!$J$8:J$269,PPTO!B$8:B$269)=0," ",LOOKUP(O57,PPTO!$J$8:J$269,PPTO!B$8:B$269))</f>
        <v xml:space="preserve"> </v>
      </c>
      <c r="C57" s="89" t="str">
        <f>IF(LOOKUP(O57,PPTO!$J$8:$J$269,PPTO!D$8:D$269)=0," ",LOOKUP(O57,PPTO!$J$8:$J$269,PPTO!D$8:D$269))</f>
        <v>M2</v>
      </c>
      <c r="D57" s="90" t="str">
        <f>IF(LOOKUP(O57,PPTO!$J$8:$J$269,PPTO!E$8:E$269)=0," ",LOOKUP(O57,PPTO!$J$8:$J$269,PPTO!E$8:E$269))</f>
        <v xml:space="preserve"> </v>
      </c>
      <c r="E57" s="90" t="str">
        <f>IF(LOOKUP(O57,PPTO!$J$8:$J$269,PPTO!F$8:F$269)=0," ",LOOKUP(O57,PPTO!$J$8:$J$269,PPTO!F$8:F$269))</f>
        <v xml:space="preserve"> </v>
      </c>
      <c r="F57" s="90" t="str">
        <f>IF(LOOKUP(O57,PPTO!$J$8:$J$269,PPTO!H$8:H$269)=0," ",LOOKUP(O57,PPTO!$J$8:$J$269,PPTO!H$8:H$269))</f>
        <v xml:space="preserve"> </v>
      </c>
      <c r="G57" s="476" t="e">
        <f t="shared" si="1"/>
        <v>#VALUE!</v>
      </c>
      <c r="H57" s="102" t="e">
        <f>'ACTA MODIFICACIÓN No.1'!K57</f>
        <v>#VALUE!</v>
      </c>
      <c r="I57" s="102" t="e">
        <f t="shared" si="3"/>
        <v>#VALUE!</v>
      </c>
      <c r="J57" s="477" t="e">
        <f t="shared" si="2"/>
        <v>#VALUE!</v>
      </c>
      <c r="K57" s="102" t="e">
        <f t="shared" si="4"/>
        <v>#VALUE!</v>
      </c>
      <c r="L57" s="102" t="e">
        <f t="shared" si="5"/>
        <v>#VALUE!</v>
      </c>
      <c r="M57" s="175">
        <v>4134</v>
      </c>
      <c r="N57" s="102" t="e">
        <f t="shared" si="6"/>
        <v>#VALUE!</v>
      </c>
      <c r="O57" s="108">
        <f t="shared" si="0"/>
        <v>40</v>
      </c>
    </row>
    <row r="58" spans="1:15">
      <c r="A58" s="87" t="str">
        <f>IF(LOOKUP(O58,PPTO!$J$8:$J$269,PPTO!A$8:A$269)=0," ",LOOKUP(O58,PPTO!$J$8:$J$269,PPTO!A$8:A$269))</f>
        <v>6.02</v>
      </c>
      <c r="B58" s="91" t="str">
        <f>IF(LOOKUP(O58,PPTO!$J$8:J$269,PPTO!B$8:B$269)=0," ",LOOKUP(O58,PPTO!$J$8:J$269,PPTO!B$8:B$269))</f>
        <v xml:space="preserve"> </v>
      </c>
      <c r="C58" s="89" t="str">
        <f>IF(LOOKUP(O58,PPTO!$J$8:$J$269,PPTO!D$8:D$269)=0," ",LOOKUP(O58,PPTO!$J$8:$J$269,PPTO!D$8:D$269))</f>
        <v>M3</v>
      </c>
      <c r="D58" s="90" t="str">
        <f>IF(LOOKUP(O58,PPTO!$J$8:$J$269,PPTO!E$8:E$269)=0," ",LOOKUP(O58,PPTO!$J$8:$J$269,PPTO!E$8:E$269))</f>
        <v xml:space="preserve"> </v>
      </c>
      <c r="E58" s="90" t="str">
        <f>IF(LOOKUP(O58,PPTO!$J$8:$J$269,PPTO!F$8:F$269)=0," ",LOOKUP(O58,PPTO!$J$8:$J$269,PPTO!F$8:F$269))</f>
        <v xml:space="preserve"> </v>
      </c>
      <c r="F58" s="90" t="str">
        <f>IF(LOOKUP(O58,PPTO!$J$8:$J$269,PPTO!H$8:H$269)=0," ",LOOKUP(O58,PPTO!$J$8:$J$269,PPTO!H$8:H$269))</f>
        <v xml:space="preserve"> </v>
      </c>
      <c r="G58" s="476" t="e">
        <f t="shared" si="1"/>
        <v>#VALUE!</v>
      </c>
      <c r="H58" s="102" t="e">
        <f>'ACTA MODIFICACIÓN No.1'!K58</f>
        <v>#VALUE!</v>
      </c>
      <c r="I58" s="102" t="e">
        <f t="shared" si="3"/>
        <v>#VALUE!</v>
      </c>
      <c r="J58" s="477" t="e">
        <f t="shared" si="2"/>
        <v>#VALUE!</v>
      </c>
      <c r="K58" s="102" t="e">
        <f t="shared" si="4"/>
        <v>#VALUE!</v>
      </c>
      <c r="L58" s="102" t="e">
        <f t="shared" si="5"/>
        <v>#VALUE!</v>
      </c>
      <c r="M58" s="175">
        <v>1243</v>
      </c>
      <c r="N58" s="102" t="e">
        <f t="shared" si="6"/>
        <v>#VALUE!</v>
      </c>
      <c r="O58" s="108">
        <f t="shared" si="0"/>
        <v>41</v>
      </c>
    </row>
    <row r="59" spans="1:15">
      <c r="A59" s="87" t="str">
        <f>IF(LOOKUP(O59,PPTO!$J$8:$J$269,PPTO!A$8:A$269)=0," ",LOOKUP(O59,PPTO!$J$8:$J$269,PPTO!A$8:A$269))</f>
        <v>6.04</v>
      </c>
      <c r="B59" s="91" t="str">
        <f>IF(LOOKUP(O59,PPTO!$J$8:J$269,PPTO!B$8:B$269)=0," ",LOOKUP(O59,PPTO!$J$8:J$269,PPTO!B$8:B$269))</f>
        <v xml:space="preserve"> </v>
      </c>
      <c r="C59" s="89" t="str">
        <f>IF(LOOKUP(O59,PPTO!$J$8:$J$269,PPTO!D$8:D$269)=0," ",LOOKUP(O59,PPTO!$J$8:$J$269,PPTO!D$8:D$269))</f>
        <v>M2</v>
      </c>
      <c r="D59" s="90" t="str">
        <f>IF(LOOKUP(O59,PPTO!$J$8:$J$269,PPTO!E$8:E$269)=0," ",LOOKUP(O59,PPTO!$J$8:$J$269,PPTO!E$8:E$269))</f>
        <v xml:space="preserve"> </v>
      </c>
      <c r="E59" s="90" t="str">
        <f>IF(LOOKUP(O59,PPTO!$J$8:$J$269,PPTO!F$8:F$269)=0," ",LOOKUP(O59,PPTO!$J$8:$J$269,PPTO!F$8:F$269))</f>
        <v xml:space="preserve"> </v>
      </c>
      <c r="F59" s="90" t="str">
        <f>IF(LOOKUP(O59,PPTO!$J$8:$J$269,PPTO!H$8:H$269)=0," ",LOOKUP(O59,PPTO!$J$8:$J$269,PPTO!H$8:H$269))</f>
        <v xml:space="preserve"> </v>
      </c>
      <c r="G59" s="476" t="e">
        <f t="shared" si="1"/>
        <v>#VALUE!</v>
      </c>
      <c r="H59" s="102" t="e">
        <f>'ACTA MODIFICACIÓN No.1'!K59</f>
        <v>#VALUE!</v>
      </c>
      <c r="I59" s="102" t="e">
        <f t="shared" si="3"/>
        <v>#VALUE!</v>
      </c>
      <c r="J59" s="477" t="e">
        <f t="shared" si="2"/>
        <v>#VALUE!</v>
      </c>
      <c r="K59" s="102" t="e">
        <f t="shared" si="4"/>
        <v>#VALUE!</v>
      </c>
      <c r="L59" s="102" t="e">
        <f t="shared" si="5"/>
        <v>#VALUE!</v>
      </c>
      <c r="M59" s="175">
        <v>1259</v>
      </c>
      <c r="N59" s="102" t="e">
        <f t="shared" si="6"/>
        <v>#VALUE!</v>
      </c>
      <c r="O59" s="108">
        <f t="shared" si="0"/>
        <v>42</v>
      </c>
    </row>
    <row r="60" spans="1:15">
      <c r="A60" s="87" t="str">
        <f>IF(LOOKUP(O60,PPTO!$J$8:$J$269,PPTO!A$8:A$269)=0," ",LOOKUP(O60,PPTO!$J$8:$J$269,PPTO!A$8:A$269))</f>
        <v>6.05</v>
      </c>
      <c r="B60" s="91" t="str">
        <f>IF(LOOKUP(O60,PPTO!$J$8:J$269,PPTO!B$8:B$269)=0," ",LOOKUP(O60,PPTO!$J$8:J$269,PPTO!B$8:B$269))</f>
        <v xml:space="preserve"> </v>
      </c>
      <c r="C60" s="89" t="str">
        <f>IF(LOOKUP(O60,PPTO!$J$8:$J$269,PPTO!D$8:D$269)=0," ",LOOKUP(O60,PPTO!$J$8:$J$269,PPTO!D$8:D$269))</f>
        <v>ML</v>
      </c>
      <c r="D60" s="90" t="str">
        <f>IF(LOOKUP(O60,PPTO!$J$8:$J$269,PPTO!E$8:E$269)=0," ",LOOKUP(O60,PPTO!$J$8:$J$269,PPTO!E$8:E$269))</f>
        <v xml:space="preserve"> </v>
      </c>
      <c r="E60" s="90" t="str">
        <f>IF(LOOKUP(O60,PPTO!$J$8:$J$269,PPTO!F$8:F$269)=0," ",LOOKUP(O60,PPTO!$J$8:$J$269,PPTO!F$8:F$269))</f>
        <v xml:space="preserve"> </v>
      </c>
      <c r="F60" s="90" t="str">
        <f>IF(LOOKUP(O60,PPTO!$J$8:$J$269,PPTO!H$8:H$269)=0," ",LOOKUP(O60,PPTO!$J$8:$J$269,PPTO!H$8:H$269))</f>
        <v xml:space="preserve"> </v>
      </c>
      <c r="G60" s="476" t="e">
        <f t="shared" si="1"/>
        <v>#VALUE!</v>
      </c>
      <c r="H60" s="102" t="e">
        <f>'ACTA MODIFICACIÓN No.1'!K60</f>
        <v>#VALUE!</v>
      </c>
      <c r="I60" s="102" t="e">
        <f t="shared" si="3"/>
        <v>#VALUE!</v>
      </c>
      <c r="J60" s="477" t="e">
        <f t="shared" si="2"/>
        <v>#VALUE!</v>
      </c>
      <c r="K60" s="102" t="e">
        <f t="shared" si="4"/>
        <v>#VALUE!</v>
      </c>
      <c r="L60" s="102" t="e">
        <f t="shared" si="5"/>
        <v>#VALUE!</v>
      </c>
      <c r="M60" s="175">
        <v>1259</v>
      </c>
      <c r="N60" s="102" t="e">
        <f t="shared" si="6"/>
        <v>#VALUE!</v>
      </c>
      <c r="O60" s="108">
        <f t="shared" si="0"/>
        <v>43</v>
      </c>
    </row>
    <row r="61" spans="1:15">
      <c r="A61" s="87" t="str">
        <f>IF(LOOKUP(O61,PPTO!$J$8:$J$269,PPTO!A$8:A$269)=0," ",LOOKUP(O61,PPTO!$J$8:$J$269,PPTO!A$8:A$269))</f>
        <v>6.06</v>
      </c>
      <c r="B61" s="91" t="str">
        <f>IF(LOOKUP(O61,PPTO!$J$8:J$269,PPTO!B$8:B$269)=0," ",LOOKUP(O61,PPTO!$J$8:J$269,PPTO!B$8:B$269))</f>
        <v xml:space="preserve"> </v>
      </c>
      <c r="C61" s="89" t="str">
        <f>IF(LOOKUP(O61,PPTO!$J$8:$J$269,PPTO!D$8:D$269)=0," ",LOOKUP(O61,PPTO!$J$8:$J$269,PPTO!D$8:D$269))</f>
        <v>M2</v>
      </c>
      <c r="D61" s="90" t="str">
        <f>IF(LOOKUP(O61,PPTO!$J$8:$J$269,PPTO!E$8:E$269)=0," ",LOOKUP(O61,PPTO!$J$8:$J$269,PPTO!E$8:E$269))</f>
        <v xml:space="preserve"> </v>
      </c>
      <c r="E61" s="90" t="str">
        <f>IF(LOOKUP(O61,PPTO!$J$8:$J$269,PPTO!F$8:F$269)=0," ",LOOKUP(O61,PPTO!$J$8:$J$269,PPTO!F$8:F$269))</f>
        <v xml:space="preserve"> </v>
      </c>
      <c r="F61" s="90" t="str">
        <f>IF(LOOKUP(O61,PPTO!$J$8:$J$269,PPTO!H$8:H$269)=0," ",LOOKUP(O61,PPTO!$J$8:$J$269,PPTO!H$8:H$269))</f>
        <v xml:space="preserve"> </v>
      </c>
      <c r="G61" s="476" t="e">
        <f t="shared" si="1"/>
        <v>#VALUE!</v>
      </c>
      <c r="H61" s="102" t="e">
        <f>'ACTA MODIFICACIÓN No.1'!K61</f>
        <v>#VALUE!</v>
      </c>
      <c r="I61" s="102" t="e">
        <f t="shared" si="3"/>
        <v>#VALUE!</v>
      </c>
      <c r="J61" s="477" t="e">
        <f t="shared" si="2"/>
        <v>#VALUE!</v>
      </c>
      <c r="K61" s="102" t="e">
        <f t="shared" si="4"/>
        <v>#VALUE!</v>
      </c>
      <c r="L61" s="102" t="e">
        <f t="shared" si="5"/>
        <v>#VALUE!</v>
      </c>
      <c r="M61" s="175">
        <v>140</v>
      </c>
      <c r="N61" s="102" t="e">
        <f t="shared" si="6"/>
        <v>#VALUE!</v>
      </c>
      <c r="O61" s="108">
        <f t="shared" si="0"/>
        <v>44</v>
      </c>
    </row>
    <row r="62" spans="1:15">
      <c r="A62" s="87"/>
      <c r="B62" s="210"/>
      <c r="C62" s="155"/>
      <c r="D62" s="156"/>
      <c r="E62" s="156"/>
      <c r="F62" s="156"/>
      <c r="G62" s="156"/>
      <c r="H62" s="161"/>
      <c r="I62" s="161"/>
      <c r="J62" s="161"/>
      <c r="K62" s="102"/>
      <c r="L62" s="102"/>
      <c r="M62" s="175"/>
      <c r="N62" s="102"/>
      <c r="O62" s="108"/>
    </row>
    <row r="63" spans="1:15">
      <c r="A63" s="87"/>
      <c r="B63" s="275" t="s">
        <v>348</v>
      </c>
      <c r="C63" s="276"/>
      <c r="D63" s="277"/>
      <c r="E63" s="277"/>
      <c r="F63" s="277">
        <v>0</v>
      </c>
      <c r="G63" s="277"/>
      <c r="H63" s="278"/>
      <c r="I63" s="278">
        <v>0</v>
      </c>
      <c r="J63" s="278"/>
      <c r="K63" s="279"/>
      <c r="L63" s="279">
        <v>0</v>
      </c>
      <c r="M63" s="279"/>
      <c r="N63" s="279">
        <v>0</v>
      </c>
      <c r="O63" s="108"/>
    </row>
    <row r="64" spans="1:15" ht="12.75" thickBot="1">
      <c r="A64" s="87"/>
      <c r="B64" s="88"/>
      <c r="C64" s="89"/>
      <c r="D64" s="90"/>
      <c r="E64" s="90"/>
      <c r="F64" s="90"/>
      <c r="G64" s="90"/>
      <c r="H64" s="102"/>
      <c r="I64" s="102"/>
      <c r="J64" s="102"/>
      <c r="K64" s="102"/>
      <c r="L64" s="102"/>
      <c r="M64" s="102"/>
      <c r="N64" s="102"/>
      <c r="O64" s="108"/>
    </row>
    <row r="65" spans="1:15" ht="12.75" thickBot="1">
      <c r="A65" s="87"/>
      <c r="B65" s="280" t="s">
        <v>323</v>
      </c>
      <c r="C65" s="281"/>
      <c r="D65" s="282"/>
      <c r="E65" s="282"/>
      <c r="F65" s="361">
        <f>SUM(F20:F64)</f>
        <v>0</v>
      </c>
      <c r="G65" s="404"/>
      <c r="H65" s="284"/>
      <c r="I65" s="361" t="e">
        <f>SUM(I20:I64)</f>
        <v>#VALUE!</v>
      </c>
      <c r="J65" s="404"/>
      <c r="K65" s="284"/>
      <c r="L65" s="361" t="e">
        <f>SUM(L20:L64)</f>
        <v>#VALUE!</v>
      </c>
      <c r="M65" s="284"/>
      <c r="N65" s="361" t="e">
        <f>SUM(N20:N64)</f>
        <v>#VALUE!</v>
      </c>
      <c r="O65" s="108"/>
    </row>
    <row r="66" spans="1:15">
      <c r="A66" s="87"/>
      <c r="B66" s="285" t="s">
        <v>174</v>
      </c>
      <c r="C66" s="286" t="s">
        <v>296</v>
      </c>
      <c r="D66" s="287">
        <f>DATOS!E184</f>
        <v>18.5</v>
      </c>
      <c r="E66" s="288"/>
      <c r="F66" s="366">
        <f>ROUND(F$65*$D$66/100,0)</f>
        <v>0</v>
      </c>
      <c r="G66" s="366"/>
      <c r="H66" s="289"/>
      <c r="I66" s="366" t="e">
        <f>ROUND(I$65*$D$66/100,0)</f>
        <v>#VALUE!</v>
      </c>
      <c r="J66" s="366"/>
      <c r="K66" s="289"/>
      <c r="L66" s="366" t="e">
        <f>ROUND(L$65*$D$66/100,0)</f>
        <v>#VALUE!</v>
      </c>
      <c r="M66" s="289"/>
      <c r="N66" s="366" t="e">
        <f>ROUND(N$65*$D$66/100,0)</f>
        <v>#VALUE!</v>
      </c>
      <c r="O66" s="108"/>
    </row>
    <row r="67" spans="1:15">
      <c r="A67" s="87"/>
      <c r="B67" s="290" t="s">
        <v>166</v>
      </c>
      <c r="C67" s="291" t="s">
        <v>296</v>
      </c>
      <c r="D67" s="292">
        <f>DATOS!E186</f>
        <v>5</v>
      </c>
      <c r="E67" s="293"/>
      <c r="F67" s="366">
        <f>ROUND(F$65*$D$67/100,0)</f>
        <v>0</v>
      </c>
      <c r="G67" s="366"/>
      <c r="H67" s="279"/>
      <c r="I67" s="366" t="e">
        <f>ROUND(I$65*$D$67/100,0)</f>
        <v>#VALUE!</v>
      </c>
      <c r="J67" s="366"/>
      <c r="K67" s="279"/>
      <c r="L67" s="366" t="e">
        <f>ROUND(L$65*$D$67/100,0)</f>
        <v>#VALUE!</v>
      </c>
      <c r="M67" s="279"/>
      <c r="N67" s="366" t="e">
        <f>ROUND(N$65*$D$67/100,0)</f>
        <v>#VALUE!</v>
      </c>
      <c r="O67" s="108"/>
    </row>
    <row r="68" spans="1:15" ht="12.75" thickBot="1">
      <c r="A68" s="87"/>
      <c r="B68" s="294" t="s">
        <v>167</v>
      </c>
      <c r="C68" s="295" t="s">
        <v>296</v>
      </c>
      <c r="D68" s="292">
        <f>DATOS!E188</f>
        <v>8</v>
      </c>
      <c r="E68" s="293"/>
      <c r="F68" s="366">
        <f>ROUND(F$65*$D$68/100,0)</f>
        <v>0</v>
      </c>
      <c r="G68" s="366"/>
      <c r="H68" s="279"/>
      <c r="I68" s="366" t="e">
        <f>ROUND(I$65*$D$68/100,0)</f>
        <v>#VALUE!</v>
      </c>
      <c r="J68" s="366"/>
      <c r="K68" s="279"/>
      <c r="L68" s="366" t="e">
        <f>ROUND(L$65*$D$68/100,0)</f>
        <v>#VALUE!</v>
      </c>
      <c r="M68" s="279"/>
      <c r="N68" s="366" t="e">
        <f>ROUND(N$65*$D$68/100,0)</f>
        <v>#VALUE!</v>
      </c>
      <c r="O68" s="108"/>
    </row>
    <row r="69" spans="1:15" ht="12.75" thickBot="1">
      <c r="A69" s="87"/>
      <c r="B69" s="280" t="s">
        <v>324</v>
      </c>
      <c r="C69" s="281"/>
      <c r="D69" s="282"/>
      <c r="E69" s="282"/>
      <c r="F69" s="361">
        <f>SUM(F66:F68)</f>
        <v>0</v>
      </c>
      <c r="G69" s="404"/>
      <c r="H69" s="284"/>
      <c r="I69" s="361" t="e">
        <f>SUM(I66:I68)</f>
        <v>#VALUE!</v>
      </c>
      <c r="J69" s="404"/>
      <c r="K69" s="284"/>
      <c r="L69" s="361" t="e">
        <f>SUM(L66:L68)</f>
        <v>#VALUE!</v>
      </c>
      <c r="M69" s="284"/>
      <c r="N69" s="361" t="e">
        <f>SUM(N66:N68)</f>
        <v>#VALUE!</v>
      </c>
      <c r="O69" s="108"/>
    </row>
    <row r="70" spans="1:15" ht="12.75" thickBot="1">
      <c r="A70" s="87"/>
      <c r="B70" s="1150"/>
      <c r="C70" s="1150"/>
      <c r="D70" s="293"/>
      <c r="E70" s="293"/>
      <c r="F70" s="371"/>
      <c r="G70" s="371"/>
      <c r="H70" s="279"/>
      <c r="I70" s="371"/>
      <c r="J70" s="371"/>
      <c r="K70" s="279"/>
      <c r="L70" s="371"/>
      <c r="M70" s="279"/>
      <c r="N70" s="371"/>
      <c r="O70" s="108"/>
    </row>
    <row r="71" spans="1:15" ht="12.75" thickBot="1">
      <c r="A71" s="87"/>
      <c r="B71" s="280" t="s">
        <v>325</v>
      </c>
      <c r="C71" s="281"/>
      <c r="D71" s="282"/>
      <c r="E71" s="282"/>
      <c r="F71" s="361">
        <f>F65+F69</f>
        <v>0</v>
      </c>
      <c r="G71" s="404"/>
      <c r="H71" s="284"/>
      <c r="I71" s="361" t="e">
        <f>I65+I69</f>
        <v>#VALUE!</v>
      </c>
      <c r="J71" s="404"/>
      <c r="K71" s="284"/>
      <c r="L71" s="361" t="e">
        <f>L65+L69</f>
        <v>#VALUE!</v>
      </c>
      <c r="M71" s="284"/>
      <c r="N71" s="361" t="e">
        <f>N65+N69</f>
        <v>#VALUE!</v>
      </c>
      <c r="O71" s="108"/>
    </row>
    <row r="72" spans="1:15">
      <c r="A72" s="87" t="str">
        <f>IF(LOOKUP(O72,PPTO!$J$8:$J$269,PPTO!A$8:A$269)=0," ",LOOKUP(O72,PPTO!$J$8:$J$269,PPTO!A$8:A$269))</f>
        <v xml:space="preserve"> </v>
      </c>
      <c r="B72" s="91" t="str">
        <f>IF(LOOKUP(O72,PPTO!$J$8:J$269,PPTO!B$8:B$269)=0," ",LOOKUP(O72,PPTO!$J$8:J$269,PPTO!B$8:B$269))</f>
        <v xml:space="preserve"> </v>
      </c>
      <c r="C72" s="89" t="str">
        <f>IF(LOOKUP(O72,PPTO!$J$8:$J$269,PPTO!D$8:D$269)=0," ",LOOKUP(O72,PPTO!$J$8:$J$269,PPTO!D$8:D$269))</f>
        <v xml:space="preserve"> </v>
      </c>
      <c r="D72" s="90" t="str">
        <f>IF(LOOKUP(O72,PPTO!$J$8:$J$269,PPTO!E$8:E$269)=0," ",LOOKUP(O72,PPTO!$J$8:$J$269,PPTO!E$8:E$269))</f>
        <v xml:space="preserve"> </v>
      </c>
      <c r="E72" s="90" t="str">
        <f>IF(LOOKUP(O72,PPTO!$J$8:$J$269,PPTO!F$8:F$269)=0," ",LOOKUP(O72,PPTO!$J$8:$J$269,PPTO!F$8:F$269))</f>
        <v xml:space="preserve"> </v>
      </c>
      <c r="F72" s="90" t="str">
        <f>IF(LOOKUP(O72,PPTO!$J$8:$J$269,PPTO!H$8:H$269)=0," ",LOOKUP(O72,PPTO!$J$8:$J$269,PPTO!H$8:H$269))</f>
        <v xml:space="preserve"> </v>
      </c>
      <c r="G72" s="90"/>
      <c r="H72" s="102"/>
      <c r="I72" s="102"/>
      <c r="J72" s="102"/>
      <c r="K72" s="102"/>
      <c r="L72" s="102"/>
      <c r="M72" s="102"/>
      <c r="N72" s="102"/>
      <c r="O72" s="108">
        <v>45</v>
      </c>
    </row>
    <row r="73" spans="1:15">
      <c r="A73" s="92">
        <f>IF(LOOKUP(O73,PPTO!$J$8:$J$269,PPTO!A$8:A$269)=0," ",LOOKUP(O73,PPTO!$J$8:$J$269,PPTO!A$8:A$269))</f>
        <v>7</v>
      </c>
      <c r="B73" s="88" t="str">
        <f>IF(LOOKUP(O73,PPTO!$J$8:J$269,PPTO!B$8:B$269)=0," ",LOOKUP(O73,PPTO!$J$8:J$269,PPTO!B$8:B$269))</f>
        <v>SUMINISTRO DE TUBERIA</v>
      </c>
      <c r="C73" s="89" t="str">
        <f>IF(LOOKUP(O73,PPTO!$J$8:$J$269,PPTO!D$8:D$269)=0," ",LOOKUP(O73,PPTO!$J$8:$J$269,PPTO!D$8:D$269))</f>
        <v xml:space="preserve"> </v>
      </c>
      <c r="D73" s="90" t="str">
        <f>IF(LOOKUP(O73,PPTO!$J$8:$J$269,PPTO!E$8:E$269)=0," ",LOOKUP(O73,PPTO!$J$8:$J$269,PPTO!E$8:E$269))</f>
        <v xml:space="preserve"> </v>
      </c>
      <c r="E73" s="90" t="str">
        <f>IF(LOOKUP(O73,PPTO!$J$8:$J$269,PPTO!F$8:F$269)=0," ",LOOKUP(O73,PPTO!$J$8:$J$269,PPTO!F$8:F$269))</f>
        <v xml:space="preserve"> </v>
      </c>
      <c r="F73" s="90" t="str">
        <f>IF(LOOKUP(O73,PPTO!$J$8:$J$269,PPTO!H$8:H$269)=0," ",LOOKUP(O73,PPTO!$J$8:$J$269,PPTO!H$8:H$269))</f>
        <v xml:space="preserve"> </v>
      </c>
      <c r="G73" s="90"/>
      <c r="H73" s="102"/>
      <c r="I73" s="102"/>
      <c r="J73" s="102"/>
      <c r="K73" s="102"/>
      <c r="L73" s="102"/>
      <c r="M73" s="175"/>
      <c r="N73" s="102"/>
      <c r="O73" s="108">
        <f>O72+1</f>
        <v>46</v>
      </c>
    </row>
    <row r="74" spans="1:15" ht="24">
      <c r="A74" s="87" t="str">
        <f>IF(LOOKUP(O74,PPTO!$J$8:$J$269,PPTO!A$8:A$269)=0," ",LOOKUP(O74,PPTO!$J$8:$J$269,PPTO!A$8:A$269))</f>
        <v>7.01</v>
      </c>
      <c r="B74" s="91" t="str">
        <f>IF(LOOKUP(O74,PPTO!$J$8:J$269,PPTO!B$8:B$269)=0," ",LOOKUP(O74,PPTO!$J$8:J$269,PPTO!B$8:B$269))</f>
        <v>SUM DE TUBERIA PVC UNION MECANICA PARA ALCANTARILLADOS 6", 160 MM</v>
      </c>
      <c r="C74" s="89" t="str">
        <f>IF(LOOKUP(O74,PPTO!$J$8:$J$269,PPTO!D$8:D$269)=0," ",LOOKUP(O74,PPTO!$J$8:$J$269,PPTO!D$8:D$269))</f>
        <v>ML</v>
      </c>
      <c r="D74" s="90" t="str">
        <f>IF(LOOKUP(O74,PPTO!$J$8:$J$269,PPTO!E$8:E$269)=0," ",LOOKUP(O74,PPTO!$J$8:$J$269,PPTO!E$8:E$269))</f>
        <v xml:space="preserve"> </v>
      </c>
      <c r="E74" s="90" t="str">
        <f>IF(LOOKUP(O74,PPTO!$J$8:$J$269,PPTO!F$8:F$269)=0," ",LOOKUP(O74,PPTO!$J$8:$J$269,PPTO!F$8:F$269))</f>
        <v xml:space="preserve"> </v>
      </c>
      <c r="F74" s="90" t="str">
        <f>IF(LOOKUP(O74,PPTO!$J$8:$J$269,PPTO!H$8:H$269)=0," ",LOOKUP(O74,PPTO!$J$8:$J$269,PPTO!H$8:H$269))</f>
        <v xml:space="preserve"> </v>
      </c>
      <c r="G74" s="90"/>
      <c r="H74" s="102" t="e">
        <f>'ACTA MODIFICACIÓN No.1'!K74</f>
        <v>#VALUE!</v>
      </c>
      <c r="I74" s="102" t="e">
        <f t="shared" ref="I74:I78" si="7">ROUND(H74*E74,0)</f>
        <v>#VALUE!</v>
      </c>
      <c r="J74" s="102"/>
      <c r="K74" s="102" t="e">
        <f t="shared" ref="K74:K78" si="8">M74-H74-D74</f>
        <v>#VALUE!</v>
      </c>
      <c r="L74" s="102" t="e">
        <f t="shared" ref="L74:L78" si="9">ROUND(K74*E74,0)</f>
        <v>#VALUE!</v>
      </c>
      <c r="M74" s="175">
        <v>7554</v>
      </c>
      <c r="N74" s="102" t="e">
        <f t="shared" ref="N74:N78" si="10">ROUND(M74*E74,0)</f>
        <v>#VALUE!</v>
      </c>
      <c r="O74" s="108">
        <f t="shared" ref="O74:O78" si="11">O73+1</f>
        <v>47</v>
      </c>
    </row>
    <row r="75" spans="1:15">
      <c r="A75" s="87" t="str">
        <f>IF(LOOKUP(O75,PPTO!$J$8:$J$269,PPTO!A$8:A$269)=0," ",LOOKUP(O75,PPTO!$J$8:$J$269,PPTO!A$8:A$269))</f>
        <v>7.02</v>
      </c>
      <c r="B75" s="91" t="str">
        <f>IF(LOOKUP(O75,PPTO!$J$8:J$269,PPTO!B$8:B$269)=0," ",LOOKUP(O75,PPTO!$J$8:J$269,PPTO!B$8:B$269))</f>
        <v>SUM TUB PVC 8" ALC</v>
      </c>
      <c r="C75" s="89" t="str">
        <f>IF(LOOKUP(O75,PPTO!$J$8:$J$269,PPTO!D$8:D$269)=0," ",LOOKUP(O75,PPTO!$J$8:$J$269,PPTO!D$8:D$269))</f>
        <v>ML</v>
      </c>
      <c r="D75" s="90" t="str">
        <f>IF(LOOKUP(O75,PPTO!$J$8:$J$269,PPTO!E$8:E$269)=0," ",LOOKUP(O75,PPTO!$J$8:$J$269,PPTO!E$8:E$269))</f>
        <v xml:space="preserve"> </v>
      </c>
      <c r="E75" s="90" t="str">
        <f>IF(LOOKUP(O75,PPTO!$J$8:$J$269,PPTO!F$8:F$269)=0," ",LOOKUP(O75,PPTO!$J$8:$J$269,PPTO!F$8:F$269))</f>
        <v xml:space="preserve"> </v>
      </c>
      <c r="F75" s="90" t="str">
        <f>IF(LOOKUP(O75,PPTO!$J$8:$J$269,PPTO!H$8:H$269)=0," ",LOOKUP(O75,PPTO!$J$8:$J$269,PPTO!H$8:H$269))</f>
        <v xml:space="preserve"> </v>
      </c>
      <c r="G75" s="90"/>
      <c r="H75" s="102" t="e">
        <f>'ACTA MODIFICACIÓN No.1'!K75</f>
        <v>#VALUE!</v>
      </c>
      <c r="I75" s="102" t="e">
        <f t="shared" si="7"/>
        <v>#VALUE!</v>
      </c>
      <c r="J75" s="102"/>
      <c r="K75" s="102" t="e">
        <f t="shared" si="8"/>
        <v>#VALUE!</v>
      </c>
      <c r="L75" s="102" t="e">
        <f t="shared" si="9"/>
        <v>#VALUE!</v>
      </c>
      <c r="M75" s="175">
        <v>10629.07</v>
      </c>
      <c r="N75" s="102" t="e">
        <f t="shared" si="10"/>
        <v>#VALUE!</v>
      </c>
      <c r="O75" s="108">
        <f t="shared" si="11"/>
        <v>48</v>
      </c>
    </row>
    <row r="76" spans="1:15">
      <c r="A76" s="87" t="str">
        <f>IF(LOOKUP(O76,PPTO!$J$8:$J$269,PPTO!A$8:A$269)=0," ",LOOKUP(O76,PPTO!$J$8:$J$269,PPTO!A$8:A$269))</f>
        <v>7.03</v>
      </c>
      <c r="B76" s="91" t="str">
        <f>IF(LOOKUP(O76,PPTO!$J$8:J$269,PPTO!B$8:B$269)=0," ",LOOKUP(O76,PPTO!$J$8:J$269,PPTO!B$8:B$269))</f>
        <v>SUM TUB PVC 10" ALC</v>
      </c>
      <c r="C76" s="89" t="str">
        <f>IF(LOOKUP(O76,PPTO!$J$8:$J$269,PPTO!D$8:D$269)=0," ",LOOKUP(O76,PPTO!$J$8:$J$269,PPTO!D$8:D$269))</f>
        <v>ML</v>
      </c>
      <c r="D76" s="90" t="str">
        <f>IF(LOOKUP(O76,PPTO!$J$8:$J$269,PPTO!E$8:E$269)=0," ",LOOKUP(O76,PPTO!$J$8:$J$269,PPTO!E$8:E$269))</f>
        <v xml:space="preserve"> </v>
      </c>
      <c r="E76" s="90" t="str">
        <f>IF(LOOKUP(O76,PPTO!$J$8:$J$269,PPTO!F$8:F$269)=0," ",LOOKUP(O76,PPTO!$J$8:$J$269,PPTO!F$8:F$269))</f>
        <v xml:space="preserve"> </v>
      </c>
      <c r="F76" s="90" t="str">
        <f>IF(LOOKUP(O76,PPTO!$J$8:$J$269,PPTO!H$8:H$269)=0," ",LOOKUP(O76,PPTO!$J$8:$J$269,PPTO!H$8:H$269))</f>
        <v xml:space="preserve"> </v>
      </c>
      <c r="G76" s="90"/>
      <c r="H76" s="102" t="e">
        <f>'ACTA MODIFICACIÓN No.1'!K76</f>
        <v>#VALUE!</v>
      </c>
      <c r="I76" s="102" t="e">
        <f t="shared" si="7"/>
        <v>#VALUE!</v>
      </c>
      <c r="J76" s="102"/>
      <c r="K76" s="102" t="e">
        <f t="shared" si="8"/>
        <v>#VALUE!</v>
      </c>
      <c r="L76" s="102" t="e">
        <f t="shared" si="9"/>
        <v>#VALUE!</v>
      </c>
      <c r="M76" s="175">
        <v>119.02</v>
      </c>
      <c r="N76" s="102" t="e">
        <f t="shared" si="10"/>
        <v>#VALUE!</v>
      </c>
      <c r="O76" s="108">
        <f t="shared" si="11"/>
        <v>49</v>
      </c>
    </row>
    <row r="77" spans="1:15">
      <c r="A77" s="87" t="str">
        <f>IF(LOOKUP(O77,PPTO!$J$8:$J$269,PPTO!A$8:A$269)=0," ",LOOKUP(O77,PPTO!$J$8:$J$269,PPTO!A$8:A$269))</f>
        <v>7.04</v>
      </c>
      <c r="B77" s="91" t="str">
        <f>IF(LOOKUP(O77,PPTO!$J$8:J$269,PPTO!B$8:B$269)=0," ",LOOKUP(O77,PPTO!$J$8:J$269,PPTO!B$8:B$269))</f>
        <v>SUM TUB PVC 12" ALC</v>
      </c>
      <c r="C77" s="89" t="str">
        <f>IF(LOOKUP(O77,PPTO!$J$8:$J$269,PPTO!D$8:D$269)=0," ",LOOKUP(O77,PPTO!$J$8:$J$269,PPTO!D$8:D$269))</f>
        <v>ML</v>
      </c>
      <c r="D77" s="90" t="str">
        <f>IF(LOOKUP(O77,PPTO!$J$8:$J$269,PPTO!E$8:E$269)=0," ",LOOKUP(O77,PPTO!$J$8:$J$269,PPTO!E$8:E$269))</f>
        <v xml:space="preserve"> </v>
      </c>
      <c r="E77" s="90" t="str">
        <f>IF(LOOKUP(O77,PPTO!$J$8:$J$269,PPTO!F$8:F$269)=0," ",LOOKUP(O77,PPTO!$J$8:$J$269,PPTO!F$8:F$269))</f>
        <v xml:space="preserve"> </v>
      </c>
      <c r="F77" s="90" t="str">
        <f>IF(LOOKUP(O77,PPTO!$J$8:$J$269,PPTO!H$8:H$269)=0," ",LOOKUP(O77,PPTO!$J$8:$J$269,PPTO!H$8:H$269))</f>
        <v xml:space="preserve"> </v>
      </c>
      <c r="G77" s="90"/>
      <c r="H77" s="102" t="e">
        <f>'ACTA MODIFICACIÓN No.1'!K77</f>
        <v>#VALUE!</v>
      </c>
      <c r="I77" s="102" t="e">
        <f t="shared" si="7"/>
        <v>#VALUE!</v>
      </c>
      <c r="J77" s="102"/>
      <c r="K77" s="102" t="e">
        <f t="shared" si="8"/>
        <v>#VALUE!</v>
      </c>
      <c r="L77" s="102" t="e">
        <f t="shared" si="9"/>
        <v>#VALUE!</v>
      </c>
      <c r="M77" s="175">
        <v>293.73</v>
      </c>
      <c r="N77" s="102" t="e">
        <f t="shared" si="10"/>
        <v>#VALUE!</v>
      </c>
      <c r="O77" s="108">
        <f t="shared" si="11"/>
        <v>50</v>
      </c>
    </row>
    <row r="78" spans="1:15">
      <c r="A78" s="87" t="str">
        <f>IF(LOOKUP(O78,PPTO!$J$8:$J$269,PPTO!A$8:A$269)=0," ",LOOKUP(O78,PPTO!$J$8:$J$269,PPTO!A$8:A$269))</f>
        <v>7.05</v>
      </c>
      <c r="B78" s="91" t="str">
        <f>IF(LOOKUP(O78,PPTO!$J$8:J$269,PPTO!B$8:B$269)=0," ",LOOKUP(O78,PPTO!$J$8:J$269,PPTO!B$8:B$269))</f>
        <v>SUMINISTRO TUB PVC NOVAFORT 14 "</v>
      </c>
      <c r="C78" s="89" t="str">
        <f>IF(LOOKUP(O78,PPTO!$J$8:$J$269,PPTO!D$8:D$269)=0," ",LOOKUP(O78,PPTO!$J$8:$J$269,PPTO!D$8:D$269))</f>
        <v>ML</v>
      </c>
      <c r="D78" s="90" t="str">
        <f>IF(LOOKUP(O78,PPTO!$J$8:$J$269,PPTO!E$8:E$269)=0," ",LOOKUP(O78,PPTO!$J$8:$J$269,PPTO!E$8:E$269))</f>
        <v xml:space="preserve"> </v>
      </c>
      <c r="E78" s="90" t="str">
        <f>IF(LOOKUP(O78,PPTO!$J$8:$J$269,PPTO!F$8:F$269)=0," ",LOOKUP(O78,PPTO!$J$8:$J$269,PPTO!F$8:F$269))</f>
        <v xml:space="preserve"> </v>
      </c>
      <c r="F78" s="90" t="str">
        <f>IF(LOOKUP(O78,PPTO!$J$8:$J$269,PPTO!H$8:H$269)=0," ",LOOKUP(O78,PPTO!$J$8:$J$269,PPTO!H$8:H$269))</f>
        <v xml:space="preserve"> </v>
      </c>
      <c r="G78" s="90"/>
      <c r="H78" s="102" t="e">
        <f>'ACTA MODIFICACIÓN No.1'!K78</f>
        <v>#VALUE!</v>
      </c>
      <c r="I78" s="102" t="e">
        <f t="shared" si="7"/>
        <v>#VALUE!</v>
      </c>
      <c r="J78" s="102"/>
      <c r="K78" s="102" t="e">
        <f t="shared" si="8"/>
        <v>#VALUE!</v>
      </c>
      <c r="L78" s="102" t="e">
        <f t="shared" si="9"/>
        <v>#VALUE!</v>
      </c>
      <c r="M78" s="175">
        <v>915</v>
      </c>
      <c r="N78" s="102" t="e">
        <f t="shared" si="10"/>
        <v>#VALUE!</v>
      </c>
      <c r="O78" s="108">
        <f t="shared" si="11"/>
        <v>51</v>
      </c>
    </row>
    <row r="79" spans="1:15">
      <c r="A79" s="87"/>
      <c r="B79" s="210"/>
      <c r="C79" s="155"/>
      <c r="D79" s="156"/>
      <c r="E79" s="156"/>
      <c r="F79" s="156"/>
      <c r="G79" s="156"/>
      <c r="H79" s="161"/>
      <c r="I79" s="161"/>
      <c r="J79" s="161"/>
      <c r="K79" s="102"/>
      <c r="L79" s="102"/>
      <c r="M79" s="102"/>
      <c r="N79" s="102"/>
      <c r="O79" s="108"/>
    </row>
    <row r="80" spans="1:15">
      <c r="A80" s="87"/>
      <c r="B80" s="275" t="s">
        <v>348</v>
      </c>
      <c r="C80" s="276"/>
      <c r="D80" s="277"/>
      <c r="E80" s="277"/>
      <c r="F80" s="277">
        <v>0</v>
      </c>
      <c r="G80" s="277"/>
      <c r="H80" s="278"/>
      <c r="I80" s="278">
        <v>0</v>
      </c>
      <c r="J80" s="278"/>
      <c r="K80" s="279"/>
      <c r="L80" s="279">
        <v>0</v>
      </c>
      <c r="M80" s="279"/>
      <c r="N80" s="279">
        <v>0</v>
      </c>
      <c r="O80" s="108"/>
    </row>
    <row r="81" spans="1:15" ht="12.75" thickBot="1">
      <c r="A81" s="87"/>
      <c r="B81" s="91"/>
      <c r="C81" s="89"/>
      <c r="D81" s="90"/>
      <c r="E81" s="90"/>
      <c r="F81" s="90"/>
      <c r="G81" s="90"/>
      <c r="H81" s="102"/>
      <c r="I81" s="102"/>
      <c r="J81" s="102"/>
      <c r="K81" s="102"/>
      <c r="L81" s="102"/>
      <c r="M81" s="102"/>
      <c r="N81" s="102"/>
      <c r="O81" s="108"/>
    </row>
    <row r="82" spans="1:15" ht="12.75" thickBot="1">
      <c r="A82" s="92"/>
      <c r="B82" s="280" t="s">
        <v>326</v>
      </c>
      <c r="C82" s="281"/>
      <c r="D82" s="282"/>
      <c r="E82" s="282"/>
      <c r="F82" s="361">
        <f>SUM(F74:F81)</f>
        <v>0</v>
      </c>
      <c r="G82" s="404"/>
      <c r="H82" s="284"/>
      <c r="I82" s="361" t="e">
        <f>SUM(I74:I81)</f>
        <v>#VALUE!</v>
      </c>
      <c r="J82" s="404"/>
      <c r="K82" s="284"/>
      <c r="L82" s="361" t="e">
        <f>SUM(L74:L81)</f>
        <v>#VALUE!</v>
      </c>
      <c r="M82" s="284"/>
      <c r="N82" s="361" t="e">
        <f>SUM(N74:N81)</f>
        <v>#VALUE!</v>
      </c>
      <c r="O82" s="108"/>
    </row>
    <row r="83" spans="1:15" ht="12.75" thickBot="1">
      <c r="A83" s="87"/>
      <c r="B83" s="285" t="s">
        <v>174</v>
      </c>
      <c r="C83" s="286" t="s">
        <v>296</v>
      </c>
      <c r="D83" s="287">
        <f>DATOS!E192</f>
        <v>18.5</v>
      </c>
      <c r="E83" s="288"/>
      <c r="F83" s="366">
        <f>ROUND(F$82*$D$83/100,0)</f>
        <v>0</v>
      </c>
      <c r="G83" s="366"/>
      <c r="H83" s="289"/>
      <c r="I83" s="366" t="e">
        <f>ROUND(I$82*$D$83/100,0)</f>
        <v>#VALUE!</v>
      </c>
      <c r="J83" s="366"/>
      <c r="K83" s="289"/>
      <c r="L83" s="366" t="e">
        <f>ROUND(L$82*$D$83/100,0)</f>
        <v>#VALUE!</v>
      </c>
      <c r="M83" s="289"/>
      <c r="N83" s="366" t="e">
        <f>ROUND(N$82*$D$83/100,0)</f>
        <v>#VALUE!</v>
      </c>
      <c r="O83" s="108"/>
    </row>
    <row r="84" spans="1:15" ht="12.75" thickBot="1">
      <c r="A84" s="87"/>
      <c r="B84" s="280" t="s">
        <v>327</v>
      </c>
      <c r="C84" s="281"/>
      <c r="D84" s="282"/>
      <c r="E84" s="282"/>
      <c r="F84" s="361">
        <f>F83</f>
        <v>0</v>
      </c>
      <c r="G84" s="404"/>
      <c r="H84" s="284"/>
      <c r="I84" s="361" t="e">
        <f>I83</f>
        <v>#VALUE!</v>
      </c>
      <c r="J84" s="404"/>
      <c r="K84" s="284"/>
      <c r="L84" s="361" t="e">
        <f>L83</f>
        <v>#VALUE!</v>
      </c>
      <c r="M84" s="284"/>
      <c r="N84" s="361" t="e">
        <f>N83</f>
        <v>#VALUE!</v>
      </c>
      <c r="O84" s="108"/>
    </row>
    <row r="85" spans="1:15" ht="12.75" thickBot="1">
      <c r="A85" s="87"/>
      <c r="B85" s="1150"/>
      <c r="C85" s="1150"/>
      <c r="D85" s="293"/>
      <c r="E85" s="293"/>
      <c r="F85" s="371"/>
      <c r="G85" s="371"/>
      <c r="H85" s="279"/>
      <c r="I85" s="371"/>
      <c r="J85" s="371"/>
      <c r="K85" s="279"/>
      <c r="L85" s="371"/>
      <c r="M85" s="279"/>
      <c r="N85" s="371"/>
      <c r="O85" s="108"/>
    </row>
    <row r="86" spans="1:15" ht="12.75" thickBot="1">
      <c r="A86" s="87"/>
      <c r="B86" s="280" t="s">
        <v>328</v>
      </c>
      <c r="C86" s="281"/>
      <c r="D86" s="282"/>
      <c r="E86" s="282"/>
      <c r="F86" s="361">
        <f>F82+F84</f>
        <v>0</v>
      </c>
      <c r="G86" s="404"/>
      <c r="H86" s="284"/>
      <c r="I86" s="361" t="e">
        <f>I82+I84</f>
        <v>#VALUE!</v>
      </c>
      <c r="J86" s="404"/>
      <c r="K86" s="284"/>
      <c r="L86" s="361" t="e">
        <f>L82+L84</f>
        <v>#VALUE!</v>
      </c>
      <c r="M86" s="284"/>
      <c r="N86" s="361" t="e">
        <f>N82+N84</f>
        <v>#VALUE!</v>
      </c>
      <c r="O86" s="108"/>
    </row>
    <row r="87" spans="1:15" ht="12.75" thickBot="1">
      <c r="A87" s="87"/>
      <c r="B87" s="1151"/>
      <c r="C87" s="1151"/>
      <c r="D87" s="293"/>
      <c r="E87" s="293"/>
      <c r="F87" s="371"/>
      <c r="G87" s="371"/>
      <c r="H87" s="279"/>
      <c r="I87" s="371"/>
      <c r="J87" s="371"/>
      <c r="K87" s="279"/>
      <c r="L87" s="371"/>
      <c r="M87" s="279"/>
      <c r="N87" s="371"/>
      <c r="O87" s="108"/>
    </row>
    <row r="88" spans="1:15" ht="12.75" thickBot="1">
      <c r="A88" s="87"/>
      <c r="B88" s="280" t="s">
        <v>325</v>
      </c>
      <c r="C88" s="281"/>
      <c r="D88" s="282"/>
      <c r="E88" s="282"/>
      <c r="F88" s="361">
        <f>F71</f>
        <v>0</v>
      </c>
      <c r="G88" s="404"/>
      <c r="H88" s="284"/>
      <c r="I88" s="361" t="e">
        <f>I71</f>
        <v>#VALUE!</v>
      </c>
      <c r="J88" s="404"/>
      <c r="K88" s="284"/>
      <c r="L88" s="361" t="e">
        <f>L71</f>
        <v>#VALUE!</v>
      </c>
      <c r="M88" s="284"/>
      <c r="N88" s="361" t="e">
        <f>N71</f>
        <v>#VALUE!</v>
      </c>
      <c r="O88" s="108"/>
    </row>
    <row r="89" spans="1:15" ht="12.75" thickBot="1">
      <c r="A89" s="87"/>
      <c r="B89" s="1151"/>
      <c r="C89" s="1151"/>
      <c r="D89" s="293"/>
      <c r="E89" s="293"/>
      <c r="F89" s="371"/>
      <c r="G89" s="371"/>
      <c r="H89" s="279"/>
      <c r="I89" s="371"/>
      <c r="J89" s="371"/>
      <c r="K89" s="279"/>
      <c r="L89" s="371"/>
      <c r="M89" s="279"/>
      <c r="N89" s="371"/>
      <c r="O89" s="108"/>
    </row>
    <row r="90" spans="1:15" ht="12.75" thickBot="1">
      <c r="A90" s="87"/>
      <c r="B90" s="280" t="s">
        <v>328</v>
      </c>
      <c r="C90" s="281"/>
      <c r="D90" s="282"/>
      <c r="E90" s="282"/>
      <c r="F90" s="361">
        <f>F86</f>
        <v>0</v>
      </c>
      <c r="G90" s="404"/>
      <c r="H90" s="284"/>
      <c r="I90" s="361" t="e">
        <f>I86</f>
        <v>#VALUE!</v>
      </c>
      <c r="J90" s="404"/>
      <c r="K90" s="284"/>
      <c r="L90" s="361" t="e">
        <f>L86</f>
        <v>#VALUE!</v>
      </c>
      <c r="M90" s="284"/>
      <c r="N90" s="361" t="e">
        <f>N86</f>
        <v>#VALUE!</v>
      </c>
      <c r="O90" s="108"/>
    </row>
    <row r="91" spans="1:15" ht="12.75" thickBot="1">
      <c r="A91" s="87"/>
      <c r="B91" s="976"/>
      <c r="C91" s="976"/>
      <c r="D91" s="144"/>
      <c r="E91" s="90"/>
      <c r="F91" s="90"/>
      <c r="G91" s="156"/>
      <c r="H91" s="161"/>
      <c r="I91" s="90"/>
      <c r="J91" s="156"/>
      <c r="K91" s="161"/>
      <c r="L91" s="90"/>
      <c r="M91" s="161"/>
      <c r="N91" s="90"/>
      <c r="O91" s="108"/>
    </row>
    <row r="92" spans="1:15" ht="12.75" thickBot="1">
      <c r="A92" s="87"/>
      <c r="B92" s="157" t="s">
        <v>117</v>
      </c>
      <c r="C92" s="158"/>
      <c r="D92" s="159"/>
      <c r="E92" s="159"/>
      <c r="F92" s="160">
        <f>F88+F90</f>
        <v>0</v>
      </c>
      <c r="G92" s="478"/>
      <c r="H92" s="169"/>
      <c r="I92" s="170" t="e">
        <f>I88+I90</f>
        <v>#VALUE!</v>
      </c>
      <c r="J92" s="479"/>
      <c r="K92" s="171"/>
      <c r="L92" s="170" t="e">
        <f>L88+L90</f>
        <v>#VALUE!</v>
      </c>
      <c r="M92" s="167"/>
      <c r="N92" s="168" t="e">
        <f>N88+N90</f>
        <v>#VALUE!</v>
      </c>
      <c r="O92" s="108"/>
    </row>
    <row r="93" spans="1:15">
      <c r="A93" s="87"/>
      <c r="B93" s="91"/>
      <c r="C93" s="89"/>
      <c r="D93" s="90"/>
      <c r="E93" s="90"/>
      <c r="F93" s="90"/>
      <c r="G93" s="90"/>
      <c r="H93" s="102"/>
      <c r="I93" s="102"/>
      <c r="J93" s="102"/>
      <c r="K93" s="102"/>
      <c r="L93" s="102"/>
      <c r="M93" s="102"/>
      <c r="N93" s="102"/>
      <c r="O93" s="108"/>
    </row>
    <row r="94" spans="1:15">
      <c r="A94" s="87"/>
      <c r="B94" s="88"/>
      <c r="C94" s="89"/>
      <c r="D94" s="90"/>
      <c r="E94" s="90"/>
      <c r="F94" s="90"/>
      <c r="G94" s="90"/>
      <c r="H94" s="102"/>
      <c r="I94" s="102"/>
      <c r="J94" s="102"/>
      <c r="K94" s="102"/>
      <c r="L94" s="102"/>
      <c r="M94" s="102"/>
      <c r="N94" s="102"/>
      <c r="O94" s="108"/>
    </row>
    <row r="95" spans="1:15">
      <c r="A95" s="84"/>
      <c r="B95" s="93"/>
      <c r="C95" s="84"/>
      <c r="D95" s="86"/>
      <c r="E95" s="86"/>
      <c r="F95" s="86"/>
      <c r="G95" s="86"/>
      <c r="H95" s="85"/>
      <c r="I95" s="85"/>
      <c r="J95" s="85"/>
      <c r="K95" s="85"/>
      <c r="L95" s="85"/>
      <c r="M95" s="85"/>
      <c r="N95" s="85"/>
      <c r="O95" s="108"/>
    </row>
    <row r="96" spans="1:15">
      <c r="A96" s="84"/>
      <c r="B96" s="94"/>
      <c r="C96" s="84"/>
      <c r="D96" s="86"/>
      <c r="E96" s="86"/>
      <c r="F96" s="86"/>
      <c r="G96" s="86"/>
      <c r="H96" s="85"/>
      <c r="I96" s="85"/>
      <c r="J96" s="85"/>
      <c r="K96" s="85"/>
      <c r="L96" s="85"/>
      <c r="M96" s="85"/>
      <c r="N96" s="85"/>
      <c r="O96" s="108"/>
    </row>
    <row r="97" spans="1:15">
      <c r="A97" s="84"/>
      <c r="B97" s="1066" t="s">
        <v>333</v>
      </c>
      <c r="C97" s="1066"/>
      <c r="D97" s="1066"/>
      <c r="E97" s="1066"/>
      <c r="F97" s="1066"/>
      <c r="G97" s="1066"/>
      <c r="H97" s="1066"/>
      <c r="I97" s="1066"/>
      <c r="J97" s="1066"/>
      <c r="K97" s="1066"/>
      <c r="L97" s="1066"/>
      <c r="M97" s="1066"/>
      <c r="N97" s="1066"/>
      <c r="O97" s="108"/>
    </row>
    <row r="98" spans="1:15">
      <c r="A98" s="84"/>
      <c r="B98" s="94"/>
      <c r="C98" s="84"/>
      <c r="D98" s="86"/>
      <c r="E98" s="86"/>
      <c r="F98" s="86"/>
      <c r="G98" s="86"/>
      <c r="H98" s="85"/>
      <c r="I98" s="85"/>
      <c r="J98" s="85"/>
      <c r="K98" s="85"/>
      <c r="L98" s="85"/>
      <c r="M98" s="85"/>
      <c r="N98" s="85"/>
      <c r="O98" s="108"/>
    </row>
    <row r="99" spans="1:15">
      <c r="A99" s="84"/>
      <c r="B99" s="94"/>
      <c r="C99" s="84"/>
      <c r="D99" s="86"/>
      <c r="E99" s="86"/>
      <c r="F99" s="86"/>
      <c r="G99" s="86"/>
      <c r="H99" s="85"/>
      <c r="I99" s="85"/>
      <c r="J99" s="85"/>
      <c r="K99" s="85"/>
      <c r="L99" s="85"/>
      <c r="M99" s="85"/>
      <c r="N99" s="85"/>
      <c r="O99" s="108"/>
    </row>
    <row r="100" spans="1:15">
      <c r="A100" s="84"/>
      <c r="B100" s="94"/>
      <c r="C100" s="84"/>
      <c r="D100" s="86"/>
      <c r="E100" s="86"/>
      <c r="F100" s="86"/>
      <c r="G100" s="86"/>
      <c r="H100" s="85"/>
      <c r="I100" s="85"/>
      <c r="J100" s="85"/>
      <c r="K100" s="85"/>
      <c r="L100" s="85"/>
      <c r="M100" s="85"/>
      <c r="N100" s="85"/>
      <c r="O100" s="108"/>
    </row>
    <row r="101" spans="1:15">
      <c r="A101" s="84"/>
      <c r="B101" s="94"/>
      <c r="C101" s="84"/>
      <c r="D101" s="86"/>
      <c r="E101" s="86"/>
      <c r="F101" s="86"/>
      <c r="G101" s="86"/>
      <c r="H101" s="85"/>
      <c r="I101" s="85"/>
      <c r="J101" s="85"/>
      <c r="K101" s="85"/>
      <c r="L101" s="85"/>
      <c r="M101" s="85"/>
      <c r="N101" s="85"/>
      <c r="O101" s="108"/>
    </row>
    <row r="102" spans="1:15">
      <c r="A102" s="84"/>
      <c r="B102" s="85" t="s">
        <v>271</v>
      </c>
      <c r="C102" s="85" t="s">
        <v>271</v>
      </c>
      <c r="D102" s="86"/>
      <c r="E102" s="86"/>
      <c r="F102" s="86"/>
      <c r="G102" s="86"/>
      <c r="H102" s="85" t="s">
        <v>271</v>
      </c>
      <c r="I102" s="85"/>
      <c r="J102" s="85"/>
      <c r="K102" s="85"/>
      <c r="L102" s="94" t="s">
        <v>271</v>
      </c>
      <c r="M102" s="85"/>
      <c r="N102" s="85"/>
      <c r="O102" s="108"/>
    </row>
    <row r="103" spans="1:15">
      <c r="A103" s="84"/>
      <c r="B103" s="115">
        <f>IF(DATOS!E16="Persona Jurídica",DATOS!G20,DATOS!G16)</f>
        <v>0</v>
      </c>
      <c r="C103" s="128">
        <f>IF(DATOS!E10="CONTRATO DE OBRA",IF(DATOS!E24="Persona Jurídica",DATOS!G28,DATOS!G24),DATOS!G30)</f>
        <v>0</v>
      </c>
      <c r="D103" s="86"/>
      <c r="E103" s="86"/>
      <c r="F103" s="86"/>
      <c r="G103" s="86"/>
      <c r="H103" s="115">
        <f>DATOS!E42</f>
        <v>0</v>
      </c>
      <c r="I103" s="85"/>
      <c r="J103" s="85"/>
      <c r="K103" s="85"/>
      <c r="L103" s="128">
        <f>DATOS!E40</f>
        <v>0</v>
      </c>
      <c r="M103" s="85"/>
      <c r="N103" s="85"/>
      <c r="O103" s="108"/>
    </row>
    <row r="104" spans="1:15">
      <c r="A104" s="84"/>
      <c r="B104" s="85" t="str">
        <f>IF(DATOS!E16="Persona Jurídica",DATOS!G16,"CONTRATISTA")</f>
        <v>CONTRATISTA</v>
      </c>
      <c r="C104" s="127" t="str">
        <f>IF(DATOS!E24="Persona Jurídica",DATOS!G24,"INTERVENTOR")</f>
        <v>INTERVENTOR</v>
      </c>
      <c r="D104" s="86"/>
      <c r="E104" s="86"/>
      <c r="F104" s="86"/>
      <c r="G104" s="86"/>
      <c r="H104" s="85" t="s">
        <v>330</v>
      </c>
      <c r="I104" s="85"/>
      <c r="J104" s="85"/>
      <c r="K104" s="85"/>
      <c r="L104" s="127" t="s">
        <v>331</v>
      </c>
      <c r="M104" s="85"/>
      <c r="N104" s="85"/>
      <c r="O104" s="108"/>
    </row>
    <row r="105" spans="1:15">
      <c r="A105" s="84"/>
      <c r="B105" s="85" t="str">
        <f>IF(DATOS!E16="Persona jurídica","CONTRATISTA"," ")</f>
        <v xml:space="preserve"> </v>
      </c>
      <c r="C105" s="127" t="str">
        <f>IF(DATOS!E24="Persona jurídica","INTERVENTOR"," ")</f>
        <v xml:space="preserve"> </v>
      </c>
      <c r="D105" s="86"/>
      <c r="E105" s="86"/>
      <c r="F105" s="86"/>
      <c r="G105" s="86"/>
      <c r="H105" s="85" t="s">
        <v>270</v>
      </c>
      <c r="I105" s="85"/>
      <c r="J105" s="85"/>
      <c r="K105" s="85"/>
      <c r="L105" s="94" t="s">
        <v>270</v>
      </c>
      <c r="M105" s="85"/>
      <c r="N105" s="85"/>
      <c r="O105" s="108"/>
    </row>
    <row r="106" spans="1:15">
      <c r="A106" s="84"/>
      <c r="B106" s="85"/>
      <c r="C106" s="84"/>
      <c r="D106" s="86"/>
      <c r="E106" s="86"/>
      <c r="F106" s="86"/>
      <c r="G106" s="86"/>
      <c r="H106" s="85"/>
      <c r="I106" s="85"/>
      <c r="J106" s="85"/>
      <c r="K106" s="85"/>
      <c r="L106" s="85"/>
      <c r="M106" s="85"/>
      <c r="N106" s="85"/>
      <c r="O106" s="108"/>
    </row>
    <row r="107" spans="1:15">
      <c r="A107" s="84"/>
      <c r="B107" s="85"/>
      <c r="C107" s="84"/>
      <c r="D107" s="86"/>
      <c r="E107" s="86"/>
      <c r="F107" s="86"/>
      <c r="G107" s="86"/>
      <c r="H107" s="85"/>
      <c r="I107" s="85"/>
      <c r="J107" s="85"/>
      <c r="K107" s="85"/>
      <c r="L107" s="85"/>
      <c r="M107" s="85"/>
      <c r="N107" s="85"/>
      <c r="O107" s="108"/>
    </row>
    <row r="108" spans="1:15">
      <c r="A108" s="84"/>
      <c r="B108" s="85"/>
      <c r="C108" s="84"/>
      <c r="D108" s="86"/>
      <c r="E108" s="86"/>
      <c r="F108" s="86"/>
      <c r="G108" s="86"/>
      <c r="H108" s="85"/>
      <c r="I108" s="85"/>
      <c r="J108" s="85"/>
      <c r="K108" s="85"/>
      <c r="L108" s="85"/>
      <c r="M108" s="85"/>
      <c r="N108" s="85"/>
      <c r="O108" s="108"/>
    </row>
    <row r="109" spans="1:15">
      <c r="A109" s="84"/>
      <c r="B109" s="85"/>
      <c r="C109" s="84"/>
      <c r="D109" s="86"/>
      <c r="E109" s="86"/>
      <c r="F109" s="86"/>
      <c r="G109" s="86"/>
      <c r="H109" s="85"/>
      <c r="I109" s="85"/>
      <c r="J109" s="85"/>
      <c r="K109" s="85"/>
      <c r="L109" s="85"/>
      <c r="M109" s="85"/>
      <c r="N109" s="85"/>
      <c r="O109" s="108"/>
    </row>
    <row r="110" spans="1:15">
      <c r="A110" s="84"/>
      <c r="B110" s="85"/>
      <c r="C110" s="84"/>
      <c r="D110" s="86"/>
      <c r="E110" s="86"/>
      <c r="F110" s="86"/>
      <c r="G110" s="86"/>
      <c r="H110" s="85"/>
      <c r="I110" s="85"/>
      <c r="J110" s="85"/>
      <c r="K110" s="85"/>
      <c r="L110" s="85"/>
      <c r="M110" s="85"/>
      <c r="N110" s="85"/>
      <c r="O110" s="108"/>
    </row>
    <row r="111" spans="1:15">
      <c r="A111" s="84"/>
      <c r="B111" s="85"/>
      <c r="C111" s="84"/>
      <c r="D111" s="86"/>
      <c r="E111" s="86"/>
      <c r="F111" s="86"/>
      <c r="G111" s="86"/>
      <c r="H111" s="85"/>
      <c r="I111" s="85"/>
      <c r="J111" s="85"/>
      <c r="K111" s="85"/>
      <c r="L111" s="85"/>
      <c r="M111" s="85"/>
      <c r="N111" s="85"/>
      <c r="O111" s="108"/>
    </row>
    <row r="112" spans="1:15">
      <c r="A112" s="84"/>
      <c r="B112" s="85"/>
      <c r="C112" s="84"/>
      <c r="D112" s="86"/>
      <c r="E112" s="86"/>
      <c r="F112" s="86"/>
      <c r="G112" s="86"/>
      <c r="H112" s="85"/>
      <c r="I112" s="85"/>
      <c r="J112" s="85"/>
      <c r="K112" s="85"/>
      <c r="L112" s="85"/>
      <c r="M112" s="85"/>
      <c r="N112" s="85"/>
      <c r="O112" s="108"/>
    </row>
    <row r="113" spans="1:15">
      <c r="A113" s="84"/>
      <c r="B113" s="85"/>
      <c r="C113" s="84"/>
      <c r="D113" s="86"/>
      <c r="E113" s="86"/>
      <c r="F113" s="86"/>
      <c r="G113" s="86"/>
      <c r="H113" s="85"/>
      <c r="I113" s="85"/>
      <c r="J113" s="85"/>
      <c r="K113" s="85"/>
      <c r="L113" s="85"/>
      <c r="M113" s="85"/>
      <c r="N113" s="85"/>
      <c r="O113" s="108"/>
    </row>
    <row r="114" spans="1:15">
      <c r="A114" s="84"/>
      <c r="B114" s="85"/>
      <c r="C114" s="84"/>
      <c r="D114" s="86"/>
      <c r="E114" s="86"/>
      <c r="F114" s="86"/>
      <c r="G114" s="86"/>
      <c r="H114" s="85"/>
      <c r="I114" s="85"/>
      <c r="J114" s="85"/>
      <c r="K114" s="85"/>
      <c r="L114" s="85"/>
      <c r="M114" s="85"/>
      <c r="N114" s="85"/>
      <c r="O114" s="108"/>
    </row>
    <row r="115" spans="1:15">
      <c r="A115" s="84"/>
      <c r="B115" s="85"/>
      <c r="C115" s="84"/>
      <c r="D115" s="86"/>
      <c r="E115" s="86"/>
      <c r="F115" s="86"/>
      <c r="G115" s="86"/>
      <c r="H115" s="85"/>
      <c r="I115" s="85"/>
      <c r="J115" s="85"/>
      <c r="K115" s="85"/>
      <c r="L115" s="85"/>
      <c r="M115" s="85"/>
      <c r="N115" s="85"/>
      <c r="O115" s="108"/>
    </row>
    <row r="116" spans="1:15">
      <c r="A116" s="84"/>
      <c r="B116" s="85"/>
      <c r="C116" s="84"/>
      <c r="D116" s="86"/>
      <c r="E116" s="86"/>
      <c r="F116" s="86"/>
      <c r="G116" s="86"/>
      <c r="H116" s="85"/>
      <c r="I116" s="85"/>
      <c r="J116" s="85"/>
      <c r="K116" s="85"/>
      <c r="L116" s="85"/>
      <c r="M116" s="85"/>
      <c r="N116" s="85"/>
      <c r="O116" s="108"/>
    </row>
    <row r="117" spans="1:15">
      <c r="A117" s="84"/>
      <c r="B117" s="85"/>
      <c r="C117" s="84"/>
      <c r="D117" s="86"/>
      <c r="E117" s="86"/>
      <c r="F117" s="86"/>
      <c r="G117" s="86"/>
      <c r="H117" s="85"/>
      <c r="I117" s="85"/>
      <c r="J117" s="85"/>
      <c r="K117" s="85"/>
      <c r="L117" s="85"/>
      <c r="M117" s="85"/>
      <c r="N117" s="85"/>
      <c r="O117" s="108"/>
    </row>
    <row r="118" spans="1:15">
      <c r="A118" s="84"/>
      <c r="B118" s="85"/>
      <c r="C118" s="84"/>
      <c r="D118" s="86"/>
      <c r="E118" s="86"/>
      <c r="F118" s="86"/>
      <c r="G118" s="86"/>
      <c r="H118" s="85"/>
      <c r="I118" s="85"/>
      <c r="J118" s="85"/>
      <c r="K118" s="85"/>
      <c r="L118" s="85"/>
      <c r="M118" s="85"/>
      <c r="N118" s="85"/>
      <c r="O118" s="108"/>
    </row>
    <row r="119" spans="1:15">
      <c r="A119" s="84"/>
      <c r="B119" s="85"/>
      <c r="C119" s="84"/>
      <c r="D119" s="86"/>
      <c r="E119" s="86"/>
      <c r="F119" s="86"/>
      <c r="G119" s="86"/>
      <c r="H119" s="85"/>
      <c r="I119" s="85"/>
      <c r="J119" s="85"/>
      <c r="K119" s="85"/>
      <c r="L119" s="85"/>
      <c r="M119" s="85"/>
      <c r="N119" s="85"/>
      <c r="O119" s="108"/>
    </row>
    <row r="120" spans="1:15">
      <c r="A120" s="84"/>
      <c r="B120" s="85"/>
      <c r="C120" s="84"/>
      <c r="D120" s="86"/>
      <c r="E120" s="86"/>
      <c r="F120" s="86"/>
      <c r="G120" s="86"/>
      <c r="H120" s="85"/>
      <c r="I120" s="85"/>
      <c r="J120" s="85"/>
      <c r="K120" s="85"/>
      <c r="L120" s="85"/>
      <c r="M120" s="85"/>
      <c r="N120" s="85"/>
      <c r="O120" s="108"/>
    </row>
    <row r="121" spans="1:15">
      <c r="A121" s="84"/>
      <c r="B121" s="85"/>
      <c r="C121" s="84"/>
      <c r="D121" s="86"/>
      <c r="E121" s="86"/>
      <c r="F121" s="86"/>
      <c r="G121" s="86"/>
      <c r="H121" s="85"/>
      <c r="I121" s="85"/>
      <c r="J121" s="85"/>
      <c r="K121" s="85"/>
      <c r="L121" s="85"/>
      <c r="M121" s="85"/>
      <c r="N121" s="85"/>
      <c r="O121" s="108"/>
    </row>
    <row r="122" spans="1:15">
      <c r="A122" s="84"/>
      <c r="B122" s="85"/>
      <c r="C122" s="84"/>
      <c r="D122" s="86"/>
      <c r="E122" s="86"/>
      <c r="F122" s="86"/>
      <c r="G122" s="86"/>
      <c r="H122" s="85"/>
      <c r="I122" s="85"/>
      <c r="J122" s="85"/>
      <c r="K122" s="85"/>
      <c r="L122" s="85"/>
      <c r="M122" s="85"/>
      <c r="N122" s="85"/>
      <c r="O122" s="108"/>
    </row>
    <row r="123" spans="1:15">
      <c r="A123" s="84"/>
      <c r="B123" s="85"/>
      <c r="C123" s="84"/>
      <c r="D123" s="86"/>
      <c r="E123" s="86"/>
      <c r="F123" s="86"/>
      <c r="G123" s="86"/>
      <c r="H123" s="85"/>
      <c r="I123" s="85"/>
      <c r="J123" s="85"/>
      <c r="K123" s="85"/>
      <c r="L123" s="85"/>
      <c r="M123" s="85"/>
      <c r="N123" s="85"/>
      <c r="O123" s="108"/>
    </row>
    <row r="124" spans="1:15">
      <c r="A124" s="84"/>
      <c r="B124" s="85"/>
      <c r="C124" s="84"/>
      <c r="D124" s="86"/>
      <c r="E124" s="86"/>
      <c r="F124" s="86"/>
      <c r="G124" s="86"/>
      <c r="H124" s="85"/>
      <c r="I124" s="85"/>
      <c r="J124" s="85"/>
      <c r="K124" s="85"/>
      <c r="L124" s="85"/>
      <c r="M124" s="85"/>
      <c r="N124" s="85"/>
      <c r="O124" s="108"/>
    </row>
    <row r="125" spans="1:15">
      <c r="A125" s="84"/>
      <c r="B125" s="85"/>
      <c r="C125" s="84"/>
      <c r="D125" s="86"/>
      <c r="E125" s="86"/>
      <c r="F125" s="86"/>
      <c r="G125" s="86"/>
      <c r="H125" s="85"/>
      <c r="I125" s="85"/>
      <c r="J125" s="85"/>
      <c r="K125" s="85"/>
      <c r="L125" s="85"/>
      <c r="M125" s="85"/>
      <c r="N125" s="85"/>
      <c r="O125" s="108"/>
    </row>
    <row r="126" spans="1:15">
      <c r="A126" s="84"/>
      <c r="B126" s="85"/>
      <c r="C126" s="84"/>
      <c r="D126" s="86"/>
      <c r="E126" s="86"/>
      <c r="F126" s="86"/>
      <c r="G126" s="86"/>
      <c r="H126" s="85"/>
      <c r="I126" s="85"/>
      <c r="J126" s="85"/>
      <c r="K126" s="85"/>
      <c r="L126" s="85"/>
      <c r="M126" s="85"/>
      <c r="N126" s="85"/>
      <c r="O126" s="108"/>
    </row>
    <row r="127" spans="1:15">
      <c r="A127" s="84"/>
      <c r="B127" s="85"/>
      <c r="C127" s="84"/>
      <c r="D127" s="86"/>
      <c r="E127" s="86"/>
      <c r="F127" s="86"/>
      <c r="G127" s="86"/>
      <c r="H127" s="85"/>
      <c r="I127" s="85"/>
      <c r="J127" s="85"/>
      <c r="K127" s="85"/>
      <c r="L127" s="85"/>
      <c r="M127" s="85"/>
      <c r="N127" s="85"/>
      <c r="O127" s="108"/>
    </row>
    <row r="128" spans="1:15">
      <c r="A128" s="84"/>
      <c r="B128" s="85"/>
      <c r="C128" s="84"/>
      <c r="D128" s="86"/>
      <c r="E128" s="86"/>
      <c r="F128" s="86"/>
      <c r="G128" s="86"/>
      <c r="H128" s="85"/>
      <c r="I128" s="85"/>
      <c r="J128" s="85"/>
      <c r="K128" s="85"/>
      <c r="L128" s="85"/>
      <c r="M128" s="85"/>
      <c r="N128" s="85"/>
      <c r="O128" s="108"/>
    </row>
    <row r="129" spans="1:15">
      <c r="A129" s="84"/>
      <c r="B129" s="85"/>
      <c r="C129" s="84"/>
      <c r="D129" s="86"/>
      <c r="E129" s="86"/>
      <c r="F129" s="86"/>
      <c r="G129" s="86"/>
      <c r="H129" s="85"/>
      <c r="I129" s="85"/>
      <c r="J129" s="85"/>
      <c r="K129" s="85"/>
      <c r="L129" s="85"/>
      <c r="M129" s="85"/>
      <c r="N129" s="85"/>
      <c r="O129" s="108"/>
    </row>
    <row r="130" spans="1:15">
      <c r="A130" s="84"/>
      <c r="B130" s="85"/>
      <c r="C130" s="84"/>
      <c r="D130" s="86"/>
      <c r="E130" s="86"/>
      <c r="F130" s="86"/>
      <c r="G130" s="86"/>
      <c r="H130" s="85"/>
      <c r="I130" s="85"/>
      <c r="J130" s="85"/>
      <c r="K130" s="85"/>
      <c r="L130" s="85"/>
      <c r="M130" s="85"/>
      <c r="N130" s="85"/>
      <c r="O130" s="108"/>
    </row>
    <row r="131" spans="1:15">
      <c r="A131" s="84"/>
      <c r="B131" s="85"/>
      <c r="C131" s="84"/>
      <c r="D131" s="86"/>
      <c r="E131" s="86"/>
      <c r="F131" s="86"/>
      <c r="G131" s="86"/>
      <c r="H131" s="85"/>
      <c r="I131" s="85"/>
      <c r="J131" s="85"/>
      <c r="K131" s="85"/>
      <c r="L131" s="85"/>
      <c r="M131" s="85"/>
      <c r="N131" s="85"/>
      <c r="O131" s="108"/>
    </row>
    <row r="132" spans="1:15">
      <c r="A132" s="84"/>
      <c r="B132" s="85"/>
      <c r="C132" s="84"/>
      <c r="D132" s="86"/>
      <c r="E132" s="86"/>
      <c r="F132" s="86"/>
      <c r="G132" s="86"/>
      <c r="H132" s="85"/>
      <c r="I132" s="85"/>
      <c r="J132" s="85"/>
      <c r="K132" s="85"/>
      <c r="L132" s="85"/>
      <c r="M132" s="85"/>
      <c r="N132" s="85"/>
      <c r="O132" s="108"/>
    </row>
    <row r="133" spans="1:15">
      <c r="A133" s="84"/>
      <c r="B133" s="85"/>
      <c r="C133" s="84"/>
      <c r="D133" s="86"/>
      <c r="E133" s="86"/>
      <c r="F133" s="86"/>
      <c r="G133" s="86"/>
      <c r="H133" s="85"/>
      <c r="I133" s="85"/>
      <c r="J133" s="85"/>
      <c r="K133" s="85"/>
      <c r="L133" s="85"/>
      <c r="M133" s="85"/>
      <c r="N133" s="85"/>
      <c r="O133" s="108"/>
    </row>
    <row r="134" spans="1:15">
      <c r="A134" s="84"/>
      <c r="B134" s="85"/>
      <c r="C134" s="84"/>
      <c r="D134" s="86"/>
      <c r="E134" s="86"/>
      <c r="F134" s="86"/>
      <c r="G134" s="86"/>
      <c r="H134" s="85"/>
      <c r="I134" s="85"/>
      <c r="J134" s="85"/>
      <c r="K134" s="85"/>
      <c r="L134" s="85"/>
      <c r="M134" s="85"/>
      <c r="N134" s="85"/>
      <c r="O134" s="108"/>
    </row>
    <row r="135" spans="1:15">
      <c r="A135" s="84"/>
      <c r="B135" s="85"/>
      <c r="C135" s="84"/>
      <c r="D135" s="86"/>
      <c r="E135" s="86"/>
      <c r="F135" s="86"/>
      <c r="G135" s="86"/>
      <c r="H135" s="85"/>
      <c r="I135" s="85"/>
      <c r="J135" s="85"/>
      <c r="K135" s="85"/>
      <c r="L135" s="85"/>
      <c r="M135" s="85"/>
      <c r="N135" s="85"/>
      <c r="O135" s="108"/>
    </row>
    <row r="136" spans="1:15">
      <c r="A136" s="84"/>
      <c r="B136" s="85"/>
      <c r="C136" s="84"/>
      <c r="D136" s="86"/>
      <c r="E136" s="86"/>
      <c r="F136" s="86"/>
      <c r="G136" s="86"/>
      <c r="H136" s="85"/>
      <c r="I136" s="85"/>
      <c r="J136" s="85"/>
      <c r="K136" s="85"/>
      <c r="L136" s="85"/>
      <c r="M136" s="85"/>
      <c r="N136" s="85"/>
      <c r="O136" s="108"/>
    </row>
    <row r="137" spans="1:15">
      <c r="A137" s="84"/>
      <c r="B137" s="85"/>
      <c r="C137" s="84"/>
      <c r="D137" s="86"/>
      <c r="E137" s="86"/>
      <c r="F137" s="86"/>
      <c r="G137" s="86"/>
      <c r="H137" s="85"/>
      <c r="I137" s="85"/>
      <c r="J137" s="85"/>
      <c r="K137" s="85"/>
      <c r="L137" s="85"/>
      <c r="M137" s="85"/>
      <c r="N137" s="85"/>
      <c r="O137" s="108"/>
    </row>
    <row r="138" spans="1:15">
      <c r="A138" s="84"/>
      <c r="B138" s="85"/>
      <c r="C138" s="84"/>
      <c r="D138" s="86"/>
      <c r="E138" s="86"/>
      <c r="F138" s="86"/>
      <c r="G138" s="86"/>
      <c r="H138" s="85"/>
      <c r="I138" s="85"/>
      <c r="J138" s="85"/>
      <c r="K138" s="85"/>
      <c r="L138" s="85"/>
      <c r="M138" s="85"/>
      <c r="N138" s="85"/>
      <c r="O138" s="108"/>
    </row>
    <row r="139" spans="1:15">
      <c r="A139" s="84"/>
      <c r="B139" s="85"/>
      <c r="C139" s="84"/>
      <c r="D139" s="86"/>
      <c r="E139" s="86"/>
      <c r="F139" s="86"/>
      <c r="G139" s="86"/>
      <c r="H139" s="85"/>
      <c r="I139" s="85"/>
      <c r="J139" s="85"/>
      <c r="K139" s="85"/>
      <c r="L139" s="85"/>
      <c r="M139" s="85"/>
      <c r="N139" s="85"/>
      <c r="O139" s="108"/>
    </row>
    <row r="140" spans="1:15">
      <c r="A140" s="84"/>
      <c r="B140" s="85"/>
      <c r="C140" s="84"/>
      <c r="D140" s="86"/>
      <c r="E140" s="86"/>
      <c r="F140" s="86"/>
      <c r="G140" s="86"/>
      <c r="H140" s="85"/>
      <c r="I140" s="85"/>
      <c r="J140" s="85"/>
      <c r="K140" s="85"/>
      <c r="L140" s="85"/>
      <c r="M140" s="85"/>
      <c r="N140" s="85"/>
      <c r="O140" s="108"/>
    </row>
  </sheetData>
  <mergeCells count="31">
    <mergeCell ref="B97:N97"/>
    <mergeCell ref="M12:N13"/>
    <mergeCell ref="F13:H13"/>
    <mergeCell ref="A15:A17"/>
    <mergeCell ref="B15:B17"/>
    <mergeCell ref="C15:F16"/>
    <mergeCell ref="M15:N16"/>
    <mergeCell ref="B70:C70"/>
    <mergeCell ref="B85:C85"/>
    <mergeCell ref="B87:C87"/>
    <mergeCell ref="B89:C89"/>
    <mergeCell ref="B91:C91"/>
    <mergeCell ref="A10:A13"/>
    <mergeCell ref="M4:N11"/>
    <mergeCell ref="G15:L15"/>
    <mergeCell ref="G16:I16"/>
    <mergeCell ref="A1:B9"/>
    <mergeCell ref="C1:L1"/>
    <mergeCell ref="F2:H2"/>
    <mergeCell ref="F3:H3"/>
    <mergeCell ref="F4:H4"/>
    <mergeCell ref="F5:H5"/>
    <mergeCell ref="F6:H6"/>
    <mergeCell ref="F7:H7"/>
    <mergeCell ref="F8:H8"/>
    <mergeCell ref="F9:H9"/>
    <mergeCell ref="J16:L16"/>
    <mergeCell ref="B10:B13"/>
    <mergeCell ref="F10:H10"/>
    <mergeCell ref="F11:H11"/>
    <mergeCell ref="F12:H12"/>
  </mergeCells>
  <conditionalFormatting sqref="F11:H11">
    <cfRule type="expression" dxfId="144" priority="18">
      <formula>$F$11&gt;0</formula>
    </cfRule>
  </conditionalFormatting>
  <conditionalFormatting sqref="F12:H12">
    <cfRule type="expression" dxfId="143" priority="17">
      <formula>$F$12&gt;0</formula>
    </cfRule>
  </conditionalFormatting>
  <conditionalFormatting sqref="F13:H13">
    <cfRule type="expression" dxfId="142" priority="16">
      <formula>$F$13&gt;0</formula>
    </cfRule>
  </conditionalFormatting>
  <conditionalFormatting sqref="L3">
    <cfRule type="expression" dxfId="141" priority="15">
      <formula>$L$3&gt;0</formula>
    </cfRule>
  </conditionalFormatting>
  <conditionalFormatting sqref="L4">
    <cfRule type="expression" dxfId="140" priority="14">
      <formula>$L$4&gt;0</formula>
    </cfRule>
  </conditionalFormatting>
  <conditionalFormatting sqref="L5">
    <cfRule type="expression" dxfId="139" priority="13">
      <formula>$L$5&gt;0</formula>
    </cfRule>
  </conditionalFormatting>
  <conditionalFormatting sqref="L6">
    <cfRule type="expression" dxfId="138" priority="12">
      <formula>$L$6&gt;0</formula>
    </cfRule>
  </conditionalFormatting>
  <conditionalFormatting sqref="L7">
    <cfRule type="expression" dxfId="137" priority="11">
      <formula>$L$7&gt;0</formula>
    </cfRule>
  </conditionalFormatting>
  <conditionalFormatting sqref="L8">
    <cfRule type="expression" dxfId="136" priority="10">
      <formula>$L$8&gt;0</formula>
    </cfRule>
  </conditionalFormatting>
  <conditionalFormatting sqref="L9">
    <cfRule type="expression" dxfId="135" priority="9">
      <formula>$L$9&gt;0</formula>
    </cfRule>
  </conditionalFormatting>
  <conditionalFormatting sqref="L10">
    <cfRule type="expression" dxfId="134" priority="7">
      <formula>$L$10&gt;0</formula>
    </cfRule>
    <cfRule type="expression" dxfId="133" priority="8">
      <formula>$L$10&gt;0</formula>
    </cfRule>
  </conditionalFormatting>
  <conditionalFormatting sqref="L11">
    <cfRule type="expression" dxfId="132" priority="6">
      <formula>$L$11&gt;0</formula>
    </cfRule>
  </conditionalFormatting>
  <conditionalFormatting sqref="L12">
    <cfRule type="expression" dxfId="131" priority="5">
      <formula>$L$12&gt;0</formula>
    </cfRule>
  </conditionalFormatting>
  <conditionalFormatting sqref="F4:H4">
    <cfRule type="expression" dxfId="130" priority="4">
      <formula>$F$4=" "</formula>
    </cfRule>
  </conditionalFormatting>
  <conditionalFormatting sqref="F6:H6">
    <cfRule type="expression" dxfId="129" priority="3">
      <formula>$F$6=" "</formula>
    </cfRule>
  </conditionalFormatting>
  <conditionalFormatting sqref="K80">
    <cfRule type="expression" dxfId="128" priority="1">
      <formula>K80&gt;H80</formula>
    </cfRule>
  </conditionalFormatting>
  <conditionalFormatting sqref="K63">
    <cfRule type="expression" dxfId="127" priority="2">
      <formula>K63&gt;H63</formula>
    </cfRule>
  </conditionalFormatting>
  <printOptions horizontalCentered="1"/>
  <pageMargins left="0.43307086614173229" right="0.43307086614173229" top="0.59055118110236227" bottom="0.59055118110236227" header="0.31496062992125984" footer="0.31496062992125984"/>
  <pageSetup scale="64" orientation="landscape" r:id="rId1"/>
  <headerFooter>
    <oddFooter>&amp;C&amp;"-,Cursiva"&amp;10&amp;A&amp;R&amp;"-,Cursiva"&amp;10Página &amp;P de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O140"/>
  <sheetViews>
    <sheetView zoomScaleNormal="100" workbookViewId="0">
      <selection activeCell="P30" sqref="P30"/>
    </sheetView>
  </sheetViews>
  <sheetFormatPr baseColWidth="10" defaultColWidth="13.7109375" defaultRowHeight="12"/>
  <cols>
    <col min="1" max="1" width="7.7109375" style="81" customWidth="1"/>
    <col min="2" max="2" width="54.5703125" style="82" customWidth="1"/>
    <col min="3" max="3" width="5.7109375" style="81" customWidth="1"/>
    <col min="4" max="4" width="9.140625" style="83" customWidth="1"/>
    <col min="5" max="5" width="14.7109375" style="83" customWidth="1"/>
    <col min="6" max="6" width="15.85546875" style="83" customWidth="1"/>
    <col min="7" max="7" width="3.42578125" style="83" bestFit="1" customWidth="1"/>
    <col min="8" max="8" width="13.42578125" style="82" customWidth="1"/>
    <col min="9" max="9" width="14.7109375" style="82" customWidth="1"/>
    <col min="10" max="10" width="3.42578125" style="82" bestFit="1" customWidth="1"/>
    <col min="11" max="11" width="13.28515625" style="82" customWidth="1"/>
    <col min="12" max="12" width="21.28515625" style="82" customWidth="1"/>
    <col min="13" max="14" width="15.28515625" style="82" customWidth="1"/>
    <col min="15" max="15" width="4.7109375" style="82" customWidth="1"/>
    <col min="16" max="16384" width="13.7109375" style="82"/>
  </cols>
  <sheetData>
    <row r="1" spans="1:14" ht="14.45" customHeight="1">
      <c r="A1" s="1049" t="s">
        <v>246</v>
      </c>
      <c r="B1" s="1050"/>
      <c r="C1" s="1051" t="str">
        <f>"MUNICIPIO DE "&amp;DATOS!E8</f>
        <v xml:space="preserve">MUNICIPIO DE </v>
      </c>
      <c r="D1" s="1052"/>
      <c r="E1" s="1052"/>
      <c r="F1" s="1052"/>
      <c r="G1" s="1052"/>
      <c r="H1" s="1052"/>
      <c r="I1" s="1052"/>
      <c r="J1" s="1052"/>
      <c r="K1" s="1052"/>
      <c r="L1" s="1052"/>
      <c r="M1" s="129" t="s">
        <v>90</v>
      </c>
      <c r="N1" s="130" t="s">
        <v>1130</v>
      </c>
    </row>
    <row r="2" spans="1:14" ht="12" customHeight="1">
      <c r="A2" s="1050"/>
      <c r="B2" s="1050"/>
      <c r="C2" s="103" t="str">
        <f>DATOS!E10&amp;" No.:"</f>
        <v xml:space="preserve"> No.:</v>
      </c>
      <c r="D2" s="104"/>
      <c r="E2" s="105"/>
      <c r="F2" s="1053" t="str">
        <f>DATOS!E12&amp;" "&amp;DATOS!G12&amp;" "&amp;DATOS!I12</f>
        <v xml:space="preserve">  </v>
      </c>
      <c r="G2" s="1054"/>
      <c r="H2" s="1055"/>
      <c r="I2" s="103" t="s">
        <v>184</v>
      </c>
      <c r="J2" s="104"/>
      <c r="K2" s="105"/>
      <c r="L2" s="109">
        <f>DATOS!E52</f>
        <v>0</v>
      </c>
      <c r="M2" s="129" t="s">
        <v>89</v>
      </c>
      <c r="N2" s="130" t="s">
        <v>248</v>
      </c>
    </row>
    <row r="3" spans="1:14" ht="12" customHeight="1">
      <c r="A3" s="1050"/>
      <c r="B3" s="1050"/>
      <c r="C3" s="98" t="s">
        <v>4</v>
      </c>
      <c r="D3" s="99"/>
      <c r="E3" s="100"/>
      <c r="F3" s="1053">
        <f>DATOS!G16</f>
        <v>0</v>
      </c>
      <c r="G3" s="1054"/>
      <c r="H3" s="1055"/>
      <c r="I3" s="103" t="s">
        <v>236</v>
      </c>
      <c r="J3" s="104"/>
      <c r="K3" s="105"/>
      <c r="L3" s="110">
        <f>DATOS!E72</f>
        <v>42428</v>
      </c>
      <c r="M3" s="129" t="s">
        <v>247</v>
      </c>
      <c r="N3" s="395">
        <v>42705</v>
      </c>
    </row>
    <row r="4" spans="1:14" ht="12" customHeight="1">
      <c r="A4" s="1050"/>
      <c r="B4" s="1050"/>
      <c r="C4" s="98" t="s">
        <v>5</v>
      </c>
      <c r="D4" s="99"/>
      <c r="E4" s="100"/>
      <c r="F4" s="1053" t="str">
        <f>IF(DATOS!E16="Persona Jurídica",DATOS!G20," ")</f>
        <v xml:space="preserve"> </v>
      </c>
      <c r="G4" s="1054"/>
      <c r="H4" s="1055"/>
      <c r="I4" s="103" t="s">
        <v>241</v>
      </c>
      <c r="J4" s="104"/>
      <c r="K4" s="105"/>
      <c r="L4" s="106">
        <f>DATOS!E74</f>
        <v>42459</v>
      </c>
      <c r="M4" s="1062" t="s">
        <v>334</v>
      </c>
      <c r="N4" s="1063"/>
    </row>
    <row r="5" spans="1:14" ht="12" customHeight="1">
      <c r="A5" s="1050"/>
      <c r="B5" s="1050"/>
      <c r="C5" s="98" t="s">
        <v>105</v>
      </c>
      <c r="D5" s="99"/>
      <c r="E5" s="100"/>
      <c r="F5" s="1053">
        <f>LOOKUP(C5,DATOS!C24:C30,DATOS!G24:G30)</f>
        <v>0</v>
      </c>
      <c r="G5" s="1054"/>
      <c r="H5" s="1055"/>
      <c r="I5" s="103" t="s">
        <v>237</v>
      </c>
      <c r="J5" s="104"/>
      <c r="K5" s="105"/>
      <c r="L5" s="106">
        <f>DATOS!E78</f>
        <v>42491</v>
      </c>
      <c r="M5" s="1062"/>
      <c r="N5" s="1063"/>
    </row>
    <row r="6" spans="1:14" ht="12" customHeight="1">
      <c r="A6" s="1050"/>
      <c r="B6" s="1050"/>
      <c r="C6" s="98" t="s">
        <v>5</v>
      </c>
      <c r="D6" s="99"/>
      <c r="E6" s="100"/>
      <c r="F6" s="1053" t="str">
        <f>IF(DATOS!E24="Persona Jurídica",DATOS!G28," ")</f>
        <v xml:space="preserve"> </v>
      </c>
      <c r="G6" s="1054"/>
      <c r="H6" s="1055"/>
      <c r="I6" s="103" t="s">
        <v>242</v>
      </c>
      <c r="J6" s="104"/>
      <c r="K6" s="105"/>
      <c r="L6" s="106">
        <f>DATOS!E80</f>
        <v>42916</v>
      </c>
      <c r="M6" s="1062"/>
      <c r="N6" s="1063"/>
    </row>
    <row r="7" spans="1:14" ht="12" customHeight="1">
      <c r="A7" s="1050"/>
      <c r="B7" s="1050"/>
      <c r="C7" s="98" t="s">
        <v>185</v>
      </c>
      <c r="D7" s="99"/>
      <c r="E7" s="100"/>
      <c r="F7" s="1041">
        <f>DATOS!E46</f>
        <v>0</v>
      </c>
      <c r="G7" s="1042"/>
      <c r="H7" s="1043"/>
      <c r="I7" s="103" t="s">
        <v>238</v>
      </c>
      <c r="J7" s="104"/>
      <c r="K7" s="105"/>
      <c r="L7" s="106">
        <f>DATOS!E84</f>
        <v>42541</v>
      </c>
      <c r="M7" s="1062"/>
      <c r="N7" s="1063"/>
    </row>
    <row r="8" spans="1:14" ht="12" customHeight="1">
      <c r="A8" s="1050"/>
      <c r="B8" s="1050"/>
      <c r="C8" s="98" t="s">
        <v>77</v>
      </c>
      <c r="D8" s="99"/>
      <c r="E8" s="100"/>
      <c r="F8" s="1041">
        <f>DATOS!E60</f>
        <v>30000000</v>
      </c>
      <c r="G8" s="1042"/>
      <c r="H8" s="1043"/>
      <c r="I8" s="103" t="s">
        <v>243</v>
      </c>
      <c r="J8" s="104"/>
      <c r="K8" s="105"/>
      <c r="L8" s="106">
        <f>DATOS!E86</f>
        <v>42546</v>
      </c>
      <c r="M8" s="1062"/>
      <c r="N8" s="1063"/>
    </row>
    <row r="9" spans="1:14" ht="12" customHeight="1">
      <c r="A9" s="1050"/>
      <c r="B9" s="1050"/>
      <c r="C9" s="98" t="s">
        <v>78</v>
      </c>
      <c r="D9" s="99"/>
      <c r="E9" s="100"/>
      <c r="F9" s="1041">
        <f>DATOS!E62</f>
        <v>0</v>
      </c>
      <c r="G9" s="1042"/>
      <c r="H9" s="1043"/>
      <c r="I9" s="103" t="s">
        <v>239</v>
      </c>
      <c r="J9" s="104"/>
      <c r="K9" s="105"/>
      <c r="L9" s="106">
        <f>DATOS!E90</f>
        <v>0</v>
      </c>
      <c r="M9" s="1062"/>
      <c r="N9" s="1063"/>
    </row>
    <row r="10" spans="1:14" ht="12" customHeight="1">
      <c r="A10" s="1044" t="s">
        <v>8</v>
      </c>
      <c r="B10" s="1045">
        <f>DATOS!E38</f>
        <v>0</v>
      </c>
      <c r="C10" s="98" t="s">
        <v>186</v>
      </c>
      <c r="D10" s="99"/>
      <c r="E10" s="100"/>
      <c r="F10" s="1041">
        <f>F7+F8+F9</f>
        <v>30000000</v>
      </c>
      <c r="G10" s="1042"/>
      <c r="H10" s="1043"/>
      <c r="I10" s="103" t="s">
        <v>244</v>
      </c>
      <c r="J10" s="104"/>
      <c r="K10" s="105"/>
      <c r="L10" s="106">
        <f>DATOS!E92</f>
        <v>0</v>
      </c>
      <c r="M10" s="1062"/>
      <c r="N10" s="1063"/>
    </row>
    <row r="11" spans="1:14" ht="12" customHeight="1">
      <c r="A11" s="1044"/>
      <c r="B11" s="1045"/>
      <c r="C11" s="98" t="s">
        <v>233</v>
      </c>
      <c r="D11" s="99"/>
      <c r="E11" s="100"/>
      <c r="F11" s="1046">
        <f>DATOS!E174</f>
        <v>42602</v>
      </c>
      <c r="G11" s="1047"/>
      <c r="H11" s="1048"/>
      <c r="I11" s="103" t="s">
        <v>240</v>
      </c>
      <c r="J11" s="104"/>
      <c r="K11" s="105"/>
      <c r="L11" s="106"/>
      <c r="M11" s="1064"/>
      <c r="N11" s="1065"/>
    </row>
    <row r="12" spans="1:14" ht="12" customHeight="1">
      <c r="A12" s="1044"/>
      <c r="B12" s="1045"/>
      <c r="C12" s="98" t="s">
        <v>234</v>
      </c>
      <c r="D12" s="99"/>
      <c r="E12" s="100"/>
      <c r="F12" s="1046">
        <f>DATOS!E176</f>
        <v>0</v>
      </c>
      <c r="G12" s="1047"/>
      <c r="H12" s="1048"/>
      <c r="I12" s="103" t="s">
        <v>245</v>
      </c>
      <c r="J12" s="104"/>
      <c r="K12" s="105"/>
      <c r="L12" s="106"/>
      <c r="M12" s="1073">
        <f>DATOS!E140</f>
        <v>0</v>
      </c>
      <c r="N12" s="1074"/>
    </row>
    <row r="13" spans="1:14" ht="12" customHeight="1">
      <c r="A13" s="1044"/>
      <c r="B13" s="1045"/>
      <c r="C13" s="98" t="s">
        <v>235</v>
      </c>
      <c r="D13" s="99"/>
      <c r="E13" s="100"/>
      <c r="F13" s="1046">
        <f>DATOS!E178</f>
        <v>0</v>
      </c>
      <c r="G13" s="1047"/>
      <c r="H13" s="1048"/>
      <c r="I13" s="103" t="s">
        <v>72</v>
      </c>
      <c r="J13" s="104"/>
      <c r="K13" s="105"/>
      <c r="L13" s="107">
        <f>DATOS!E132</f>
        <v>614</v>
      </c>
      <c r="M13" s="1075"/>
      <c r="N13" s="1076"/>
    </row>
    <row r="14" spans="1:14">
      <c r="A14" s="84"/>
      <c r="B14" s="85"/>
      <c r="C14" s="84"/>
      <c r="D14" s="86"/>
      <c r="E14" s="86"/>
      <c r="F14" s="86"/>
      <c r="G14" s="86"/>
      <c r="H14" s="85"/>
      <c r="I14" s="85"/>
      <c r="J14" s="85"/>
      <c r="K14" s="85"/>
      <c r="L14" s="85"/>
      <c r="M14" s="85"/>
      <c r="N14" s="85"/>
    </row>
    <row r="15" spans="1:14" ht="14.45" customHeight="1">
      <c r="A15" s="1040" t="s">
        <v>181</v>
      </c>
      <c r="B15" s="1040" t="s">
        <v>115</v>
      </c>
      <c r="C15" s="1077" t="s">
        <v>182</v>
      </c>
      <c r="D15" s="1078"/>
      <c r="E15" s="1078"/>
      <c r="F15" s="1079"/>
      <c r="G15" s="1058" t="s">
        <v>314</v>
      </c>
      <c r="H15" s="1059"/>
      <c r="I15" s="1059"/>
      <c r="J15" s="1059"/>
      <c r="K15" s="1059"/>
      <c r="L15" s="1060"/>
      <c r="M15" s="1067" t="s">
        <v>187</v>
      </c>
      <c r="N15" s="1068"/>
    </row>
    <row r="16" spans="1:14" ht="14.45" customHeight="1">
      <c r="A16" s="1040"/>
      <c r="B16" s="1040"/>
      <c r="C16" s="1080"/>
      <c r="D16" s="1081"/>
      <c r="E16" s="1081"/>
      <c r="F16" s="1082"/>
      <c r="G16" s="1056" t="s">
        <v>315</v>
      </c>
      <c r="H16" s="1061"/>
      <c r="I16" s="1057"/>
      <c r="J16" s="1056" t="s">
        <v>316</v>
      </c>
      <c r="K16" s="1061"/>
      <c r="L16" s="1057"/>
      <c r="M16" s="1069"/>
      <c r="N16" s="1070"/>
    </row>
    <row r="17" spans="1:15">
      <c r="A17" s="1040"/>
      <c r="B17" s="1040"/>
      <c r="C17" s="172" t="s">
        <v>164</v>
      </c>
      <c r="D17" s="96" t="s">
        <v>118</v>
      </c>
      <c r="E17" s="96" t="s">
        <v>180</v>
      </c>
      <c r="F17" s="96" t="s">
        <v>117</v>
      </c>
      <c r="G17" s="474" t="s">
        <v>432</v>
      </c>
      <c r="H17" s="149" t="s">
        <v>317</v>
      </c>
      <c r="I17" s="149" t="s">
        <v>117</v>
      </c>
      <c r="J17" s="474" t="s">
        <v>432</v>
      </c>
      <c r="K17" s="150" t="s">
        <v>317</v>
      </c>
      <c r="L17" s="150" t="s">
        <v>117</v>
      </c>
      <c r="M17" s="173" t="s">
        <v>317</v>
      </c>
      <c r="N17" s="173" t="s">
        <v>117</v>
      </c>
    </row>
    <row r="18" spans="1:15">
      <c r="A18" s="87" t="str">
        <f>IF(LOOKUP(O18,PPTO!$J$8:$J$269,PPTO!A$8:A$269)=0," ",LOOKUP(O18,PPTO!$J$8:$J$269,PPTO!A$8:A$269))</f>
        <v xml:space="preserve"> </v>
      </c>
      <c r="B18" s="88" t="str">
        <f>IF(LOOKUP(O18,PPTO!$J$8:J$269,PPTO!B$8:B$269)=0," ",LOOKUP(O18,PPTO!$J$8:J$269,PPTO!B$8:B$269))</f>
        <v xml:space="preserve"> </v>
      </c>
      <c r="C18" s="89" t="str">
        <f>IF(LOOKUP(O18,PPTO!$J$8:$J$269,PPTO!D$8:D$269)=0," ",LOOKUP(O18,PPTO!$J$8:$J$269,PPTO!D$8:D$269))</f>
        <v xml:space="preserve"> </v>
      </c>
      <c r="D18" s="90" t="str">
        <f>IF(LOOKUP(O18,PPTO!$J$8:$J$269,PPTO!D$8:D$269)=0," ",LOOKUP(O18,PPTO!$J$8:$J$269,PPTO!D$8:D$269))</f>
        <v xml:space="preserve"> </v>
      </c>
      <c r="E18" s="90" t="str">
        <f>IF(LOOKUP(O18,PPTO!$J$8:$J$269,PPTO!E$8:E$269)=0," ",LOOKUP(O18,PPTO!$J$8:$J$269,PPTO!E$8:E$269))</f>
        <v xml:space="preserve"> </v>
      </c>
      <c r="F18" s="90" t="str">
        <f>IF(LOOKUP(O18,PPTO!$J$8:$J$269,PPTO!F$8:F$269)=0," ",LOOKUP(O18,PPTO!$J$8:$J$269,PPTO!F$8:F$269))</f>
        <v xml:space="preserve"> </v>
      </c>
      <c r="G18" s="90"/>
      <c r="H18" s="102"/>
      <c r="I18" s="102"/>
      <c r="J18" s="102"/>
      <c r="K18" s="102"/>
      <c r="L18" s="102"/>
      <c r="M18" s="175"/>
      <c r="N18" s="102"/>
      <c r="O18" s="108">
        <v>1</v>
      </c>
    </row>
    <row r="19" spans="1:15">
      <c r="A19" s="87" t="str">
        <f>IF(LOOKUP(O19,PPTO!$J$8:$J$269,PPTO!A$8:A$269)=0," ",LOOKUP(O19,PPTO!$J$8:$J$269,PPTO!A$8:A$269))</f>
        <v xml:space="preserve"> </v>
      </c>
      <c r="B19" s="88" t="str">
        <f>IF(LOOKUP(O19,PPTO!$J$8:J$269,PPTO!B$8:B$269)=0," ",LOOKUP(O19,PPTO!$J$8:J$269,PPTO!B$8:B$269))</f>
        <v>PRESUPUESTO OBRA CIVIL</v>
      </c>
      <c r="C19" s="89" t="str">
        <f>IF(LOOKUP(O19,PPTO!$J$8:$J$269,PPTO!D$8:D$269)=0," ",LOOKUP(O19,PPTO!$J$8:$J$269,PPTO!D$8:D$269))</f>
        <v xml:space="preserve"> </v>
      </c>
      <c r="D19" s="90" t="str">
        <f>IF(LOOKUP(O19,PPTO!$J$8:$J$269,PPTO!D$8:D$269)=0," ",LOOKUP(O19,PPTO!$J$8:$J$269,PPTO!D$8:D$269))</f>
        <v xml:space="preserve"> </v>
      </c>
      <c r="E19" s="90" t="str">
        <f>IF(LOOKUP(O19,PPTO!$J$8:$J$269,PPTO!E$8:E$269)=0," ",LOOKUP(O19,PPTO!$J$8:$J$269,PPTO!E$8:E$269))</f>
        <v xml:space="preserve"> </v>
      </c>
      <c r="F19" s="90" t="str">
        <f>IF(LOOKUP(O19,PPTO!$J$8:$J$269,PPTO!H$8:H$269)=0," ",LOOKUP(O19,PPTO!$J$8:$J$269,PPTO!H$8:H$269))</f>
        <v xml:space="preserve"> </v>
      </c>
      <c r="G19" s="90"/>
      <c r="H19" s="102"/>
      <c r="I19" s="102"/>
      <c r="J19" s="102"/>
      <c r="K19" s="102"/>
      <c r="L19" s="102"/>
      <c r="M19" s="175"/>
      <c r="N19" s="102"/>
      <c r="O19" s="108">
        <f>O18+1</f>
        <v>2</v>
      </c>
    </row>
    <row r="20" spans="1:15">
      <c r="A20" s="92">
        <f>IF(LOOKUP(O20,PPTO!$J$8:$J$269,PPTO!A$8:A$269)=0," ",LOOKUP(O20,PPTO!$J$8:$J$269,PPTO!A$8:A$269))</f>
        <v>1</v>
      </c>
      <c r="B20" s="88" t="str">
        <f>IF(LOOKUP(O20,PPTO!$J$8:J$269,PPTO!B$8:B$269)=0," ",LOOKUP(O20,PPTO!$J$8:J$269,PPTO!B$8:B$269))</f>
        <v>PRELIMINARES</v>
      </c>
      <c r="C20" s="89" t="str">
        <f>IF(LOOKUP(O20,PPTO!$J$8:$J$269,PPTO!D$8:D$269)=0," ",LOOKUP(O20,PPTO!$J$8:$J$269,PPTO!D$8:D$269))</f>
        <v xml:space="preserve"> </v>
      </c>
      <c r="D20" s="90" t="str">
        <f>IF(LOOKUP(O20,PPTO!$J$8:$J$269,PPTO!E$8:E$269)=0," ",LOOKUP(O20,PPTO!$J$8:$J$269,PPTO!E$8:E$269))</f>
        <v xml:space="preserve"> </v>
      </c>
      <c r="E20" s="90" t="str">
        <f>IF(LOOKUP(O20,PPTO!$J$8:$J$269,PPTO!F$8:F$269)=0," ",LOOKUP(O20,PPTO!$J$8:$J$269,PPTO!F$8:F$269))</f>
        <v xml:space="preserve"> </v>
      </c>
      <c r="F20" s="90" t="str">
        <f>IF(LOOKUP(O20,PPTO!$J$8:$J$269,PPTO!H$8:H$269)=0," ",LOOKUP(O20,PPTO!$J$8:$J$269,PPTO!H$8:H$269))</f>
        <v xml:space="preserve"> </v>
      </c>
      <c r="G20" s="90"/>
      <c r="H20" s="102"/>
      <c r="I20" s="102"/>
      <c r="J20" s="102"/>
      <c r="K20" s="102"/>
      <c r="L20" s="102"/>
      <c r="M20" s="175"/>
      <c r="N20" s="102"/>
      <c r="O20" s="108">
        <f t="shared" ref="O20:O62" si="0">O19+1</f>
        <v>3</v>
      </c>
    </row>
    <row r="21" spans="1:15">
      <c r="A21" s="87" t="str">
        <f>IF(LOOKUP(O21,PPTO!$J$8:$J$269,PPTO!A$8:A$269)=0," ",LOOKUP(O21,PPTO!$J$8:$J$269,PPTO!A$8:A$269))</f>
        <v>1.02</v>
      </c>
      <c r="B21" s="91" t="str">
        <f>IF(LOOKUP(O21,PPTO!$J$8:J$269,PPTO!B$8:B$269)=0," ",LOOKUP(O21,PPTO!$J$8:J$269,PPTO!B$8:B$269))</f>
        <v xml:space="preserve"> </v>
      </c>
      <c r="C21" s="89" t="str">
        <f>IF(LOOKUP(O21,PPTO!$J$8:$J$269,PPTO!D$8:D$269)=0," ",LOOKUP(O21,PPTO!$J$8:$J$269,PPTO!D$8:D$269))</f>
        <v>ML</v>
      </c>
      <c r="D21" s="90" t="str">
        <f>IF(LOOKUP(O21,PPTO!$J$8:$J$269,PPTO!E$8:E$269)=0," ",LOOKUP(O21,PPTO!$J$8:$J$269,PPTO!E$8:E$269))</f>
        <v xml:space="preserve"> </v>
      </c>
      <c r="E21" s="90" t="str">
        <f>IF(LOOKUP(O21,PPTO!$J$8:$J$269,PPTO!F$8:F$269)=0," ",LOOKUP(O21,PPTO!$J$8:$J$269,PPTO!F$8:F$269))</f>
        <v xml:space="preserve"> </v>
      </c>
      <c r="F21" s="90" t="str">
        <f>IF(LOOKUP(O21,PPTO!$J$8:$J$269,PPTO!H$8:H$269)=0," ",LOOKUP(O21,PPTO!$J$8:$J$269,PPTO!H$8:H$269))</f>
        <v xml:space="preserve"> </v>
      </c>
      <c r="G21" s="476" t="e">
        <f>IF(H21&gt;=0,"+","-")</f>
        <v>#VALUE!</v>
      </c>
      <c r="H21" s="102" t="e">
        <f>'ACTA MODIFICACIÓN No.1'!K21+'ACTA MODIFICACIÓN No.2'!K21</f>
        <v>#VALUE!</v>
      </c>
      <c r="I21" s="102" t="e">
        <f>ROUND(H21*E21,0)</f>
        <v>#VALUE!</v>
      </c>
      <c r="J21" s="477" t="e">
        <f>IF(K21&gt;=0,"+","-")</f>
        <v>#VALUE!</v>
      </c>
      <c r="K21" s="102" t="e">
        <f>M21-H21-D21</f>
        <v>#VALUE!</v>
      </c>
      <c r="L21" s="102" t="e">
        <f>ROUND(K21*E21,0)</f>
        <v>#VALUE!</v>
      </c>
      <c r="M21" s="175">
        <v>15000</v>
      </c>
      <c r="N21" s="102" t="e">
        <f>ROUND(M21*E21,0)</f>
        <v>#VALUE!</v>
      </c>
      <c r="O21" s="108">
        <f t="shared" si="0"/>
        <v>4</v>
      </c>
    </row>
    <row r="22" spans="1:15">
      <c r="A22" s="87">
        <f>IF(LOOKUP(O22,PPTO!$J$8:$J$269,PPTO!A$8:A$269)=0," ",LOOKUP(O22,PPTO!$J$8:$J$269,PPTO!A$8:A$269))</f>
        <v>2</v>
      </c>
      <c r="B22" s="91" t="str">
        <f>IF(LOOKUP(O22,PPTO!$J$8:J$269,PPTO!B$8:B$269)=0," ",LOOKUP(O22,PPTO!$J$8:J$269,PPTO!B$8:B$269))</f>
        <v>DEMOLICION Y ROTURAS</v>
      </c>
      <c r="C22" s="89" t="str">
        <f>IF(LOOKUP(O22,PPTO!$J$8:$J$269,PPTO!D$8:D$269)=0," ",LOOKUP(O22,PPTO!$J$8:$J$269,PPTO!D$8:D$269))</f>
        <v xml:space="preserve"> </v>
      </c>
      <c r="D22" s="90" t="str">
        <f>IF(LOOKUP(O22,PPTO!$J$8:$J$269,PPTO!E$8:E$269)=0," ",LOOKUP(O22,PPTO!$J$8:$J$269,PPTO!E$8:E$269))</f>
        <v xml:space="preserve"> </v>
      </c>
      <c r="E22" s="90" t="str">
        <f>IF(LOOKUP(O22,PPTO!$J$8:$J$269,PPTO!F$8:F$269)=0," ",LOOKUP(O22,PPTO!$J$8:$J$269,PPTO!F$8:F$269))</f>
        <v xml:space="preserve"> </v>
      </c>
      <c r="F22" s="90" t="str">
        <f>IF(LOOKUP(O22,PPTO!$J$8:$J$269,PPTO!H$8:H$269)=0," ",LOOKUP(O22,PPTO!$J$8:$J$269,PPTO!H$8:H$269))</f>
        <v xml:space="preserve"> </v>
      </c>
      <c r="G22" s="476" t="str">
        <f t="shared" ref="G22:G61" si="1">IF(H22&gt;=0,"+","-")</f>
        <v>+</v>
      </c>
      <c r="H22" s="102"/>
      <c r="I22" s="102"/>
      <c r="J22" s="477" t="str">
        <f t="shared" ref="J22:J61" si="2">IF(K22&gt;=0,"+","-")</f>
        <v>+</v>
      </c>
      <c r="K22" s="102"/>
      <c r="L22" s="102"/>
      <c r="M22" s="175"/>
      <c r="N22" s="102"/>
      <c r="O22" s="108">
        <f t="shared" si="0"/>
        <v>5</v>
      </c>
    </row>
    <row r="23" spans="1:15">
      <c r="A23" s="87" t="str">
        <f>IF(LOOKUP(O23,PPTO!$J$8:$J$269,PPTO!A$8:A$269)=0," ",LOOKUP(O23,PPTO!$J$8:$J$269,PPTO!A$8:A$269))</f>
        <v>2.01</v>
      </c>
      <c r="B23" s="91" t="str">
        <f>IF(LOOKUP(O23,PPTO!$J$8:J$269,PPTO!B$8:B$269)=0," ",LOOKUP(O23,PPTO!$J$8:J$269,PPTO!B$8:B$269))</f>
        <v xml:space="preserve"> </v>
      </c>
      <c r="C23" s="89" t="str">
        <f>IF(LOOKUP(O23,PPTO!$J$8:$J$269,PPTO!D$8:D$269)=0," ",LOOKUP(O23,PPTO!$J$8:$J$269,PPTO!D$8:D$269))</f>
        <v>ML</v>
      </c>
      <c r="D23" s="90" t="str">
        <f>IF(LOOKUP(O23,PPTO!$J$8:$J$269,PPTO!E$8:E$269)=0," ",LOOKUP(O23,PPTO!$J$8:$J$269,PPTO!E$8:E$269))</f>
        <v xml:space="preserve"> </v>
      </c>
      <c r="E23" s="90" t="str">
        <f>IF(LOOKUP(O23,PPTO!$J$8:$J$269,PPTO!F$8:F$269)=0," ",LOOKUP(O23,PPTO!$J$8:$J$269,PPTO!F$8:F$269))</f>
        <v xml:space="preserve"> </v>
      </c>
      <c r="F23" s="90" t="str">
        <f>IF(LOOKUP(O23,PPTO!$J$8:$J$269,PPTO!H$8:H$269)=0," ",LOOKUP(O23,PPTO!$J$8:$J$269,PPTO!H$8:H$269))</f>
        <v xml:space="preserve"> </v>
      </c>
      <c r="G23" s="476" t="e">
        <f t="shared" si="1"/>
        <v>#VALUE!</v>
      </c>
      <c r="H23" s="102" t="e">
        <f>'ACTA MODIFICACIÓN No.1'!K23+'ACTA MODIFICACIÓN No.2'!K23</f>
        <v>#VALUE!</v>
      </c>
      <c r="I23" s="102" t="e">
        <f t="shared" ref="I23:I61" si="3">ROUND(H23*E23,0)</f>
        <v>#VALUE!</v>
      </c>
      <c r="J23" s="477" t="e">
        <f t="shared" si="2"/>
        <v>#VALUE!</v>
      </c>
      <c r="K23" s="102" t="e">
        <f t="shared" ref="K23:K61" si="4">M23-H23-D23</f>
        <v>#VALUE!</v>
      </c>
      <c r="L23" s="102" t="e">
        <f t="shared" ref="L23:L61" si="5">ROUND(K23*E23,0)</f>
        <v>#VALUE!</v>
      </c>
      <c r="M23" s="175">
        <v>14696</v>
      </c>
      <c r="N23" s="102" t="e">
        <f t="shared" ref="N23:N61" si="6">ROUND(M23*E23,0)</f>
        <v>#VALUE!</v>
      </c>
      <c r="O23" s="108">
        <f t="shared" si="0"/>
        <v>6</v>
      </c>
    </row>
    <row r="24" spans="1:15">
      <c r="A24" s="87" t="str">
        <f>IF(LOOKUP(O24,PPTO!$J$8:$J$269,PPTO!A$8:A$269)=0," ",LOOKUP(O24,PPTO!$J$8:$J$269,PPTO!A$8:A$269))</f>
        <v>2.02</v>
      </c>
      <c r="B24" s="91" t="str">
        <f>IF(LOOKUP(O24,PPTO!$J$8:J$269,PPTO!B$8:B$269)=0," ",LOOKUP(O24,PPTO!$J$8:J$269,PPTO!B$8:B$269))</f>
        <v xml:space="preserve"> </v>
      </c>
      <c r="C24" s="89" t="str">
        <f>IF(LOOKUP(O24,PPTO!$J$8:$J$269,PPTO!D$8:D$269)=0," ",LOOKUP(O24,PPTO!$J$8:$J$269,PPTO!D$8:D$269))</f>
        <v>M2</v>
      </c>
      <c r="D24" s="90" t="str">
        <f>IF(LOOKUP(O24,PPTO!$J$8:$J$269,PPTO!E$8:E$269)=0," ",LOOKUP(O24,PPTO!$J$8:$J$269,PPTO!E$8:E$269))</f>
        <v xml:space="preserve"> </v>
      </c>
      <c r="E24" s="90" t="str">
        <f>IF(LOOKUP(O24,PPTO!$J$8:$J$269,PPTO!F$8:F$269)=0," ",LOOKUP(O24,PPTO!$J$8:$J$269,PPTO!F$8:F$269))</f>
        <v xml:space="preserve"> </v>
      </c>
      <c r="F24" s="90" t="str">
        <f>IF(LOOKUP(O24,PPTO!$J$8:$J$269,PPTO!H$8:H$269)=0," ",LOOKUP(O24,PPTO!$J$8:$J$269,PPTO!H$8:H$269))</f>
        <v xml:space="preserve"> </v>
      </c>
      <c r="G24" s="476" t="e">
        <f t="shared" si="1"/>
        <v>#VALUE!</v>
      </c>
      <c r="H24" s="102" t="e">
        <f>'ACTA MODIFICACIÓN No.1'!K24+'ACTA MODIFICACIÓN No.2'!K24</f>
        <v>#VALUE!</v>
      </c>
      <c r="I24" s="102" t="e">
        <f t="shared" si="3"/>
        <v>#VALUE!</v>
      </c>
      <c r="J24" s="477" t="e">
        <f t="shared" si="2"/>
        <v>#VALUE!</v>
      </c>
      <c r="K24" s="102" t="e">
        <f t="shared" si="4"/>
        <v>#VALUE!</v>
      </c>
      <c r="L24" s="102" t="e">
        <f t="shared" si="5"/>
        <v>#VALUE!</v>
      </c>
      <c r="M24" s="175">
        <v>4134</v>
      </c>
      <c r="N24" s="102" t="e">
        <f t="shared" si="6"/>
        <v>#VALUE!</v>
      </c>
      <c r="O24" s="108">
        <f t="shared" si="0"/>
        <v>7</v>
      </c>
    </row>
    <row r="25" spans="1:15">
      <c r="A25" s="87" t="str">
        <f>IF(LOOKUP(O25,PPTO!$J$8:$J$269,PPTO!A$8:A$269)=0," ",LOOKUP(O25,PPTO!$J$8:$J$269,PPTO!A$8:A$269))</f>
        <v>2.03</v>
      </c>
      <c r="B25" s="91" t="str">
        <f>IF(LOOKUP(O25,PPTO!$J$8:J$269,PPTO!B$8:B$269)=0," ",LOOKUP(O25,PPTO!$J$8:J$269,PPTO!B$8:B$269))</f>
        <v xml:space="preserve"> </v>
      </c>
      <c r="C25" s="89" t="str">
        <f>IF(LOOKUP(O25,PPTO!$J$8:$J$269,PPTO!D$8:D$269)=0," ",LOOKUP(O25,PPTO!$J$8:$J$269,PPTO!D$8:D$269))</f>
        <v>M2</v>
      </c>
      <c r="D25" s="90" t="str">
        <f>IF(LOOKUP(O25,PPTO!$J$8:$J$269,PPTO!E$8:E$269)=0," ",LOOKUP(O25,PPTO!$J$8:$J$269,PPTO!E$8:E$269))</f>
        <v xml:space="preserve"> </v>
      </c>
      <c r="E25" s="90" t="str">
        <f>IF(LOOKUP(O25,PPTO!$J$8:$J$269,PPTO!F$8:F$269)=0," ",LOOKUP(O25,PPTO!$J$8:$J$269,PPTO!F$8:F$269))</f>
        <v xml:space="preserve"> </v>
      </c>
      <c r="F25" s="90" t="str">
        <f>IF(LOOKUP(O25,PPTO!$J$8:$J$269,PPTO!H$8:H$269)=0," ",LOOKUP(O25,PPTO!$J$8:$J$269,PPTO!H$8:H$269))</f>
        <v xml:space="preserve"> </v>
      </c>
      <c r="G25" s="476" t="e">
        <f t="shared" si="1"/>
        <v>#VALUE!</v>
      </c>
      <c r="H25" s="102" t="e">
        <f>'ACTA MODIFICACIÓN No.1'!K25+'ACTA MODIFICACIÓN No.2'!K25</f>
        <v>#VALUE!</v>
      </c>
      <c r="I25" s="102" t="e">
        <f t="shared" si="3"/>
        <v>#VALUE!</v>
      </c>
      <c r="J25" s="477" t="e">
        <f t="shared" si="2"/>
        <v>#VALUE!</v>
      </c>
      <c r="K25" s="102" t="e">
        <f t="shared" si="4"/>
        <v>#VALUE!</v>
      </c>
      <c r="L25" s="102" t="e">
        <f t="shared" si="5"/>
        <v>#VALUE!</v>
      </c>
      <c r="M25" s="175">
        <v>14696</v>
      </c>
      <c r="N25" s="102" t="e">
        <f t="shared" si="6"/>
        <v>#VALUE!</v>
      </c>
      <c r="O25" s="108">
        <f t="shared" si="0"/>
        <v>8</v>
      </c>
    </row>
    <row r="26" spans="1:15">
      <c r="A26" s="87" t="str">
        <f>IF(LOOKUP(O26,PPTO!$J$8:$J$269,PPTO!A$8:A$269)=0," ",LOOKUP(O26,PPTO!$J$8:$J$269,PPTO!A$8:A$269))</f>
        <v>2.04</v>
      </c>
      <c r="B26" s="91" t="str">
        <f>IF(LOOKUP(O26,PPTO!$J$8:J$269,PPTO!B$8:B$269)=0," ",LOOKUP(O26,PPTO!$J$8:J$269,PPTO!B$8:B$269))</f>
        <v xml:space="preserve"> </v>
      </c>
      <c r="C26" s="89" t="str">
        <f>IF(LOOKUP(O26,PPTO!$J$8:$J$269,PPTO!D$8:D$269)=0," ",LOOKUP(O26,PPTO!$J$8:$J$269,PPTO!D$8:D$269))</f>
        <v>UND</v>
      </c>
      <c r="D26" s="90" t="str">
        <f>IF(LOOKUP(O26,PPTO!$J$8:$J$269,PPTO!E$8:E$269)=0," ",LOOKUP(O26,PPTO!$J$8:$J$269,PPTO!E$8:E$269))</f>
        <v xml:space="preserve"> </v>
      </c>
      <c r="E26" s="90" t="str">
        <f>IF(LOOKUP(O26,PPTO!$J$8:$J$269,PPTO!F$8:F$269)=0," ",LOOKUP(O26,PPTO!$J$8:$J$269,PPTO!F$8:F$269))</f>
        <v xml:space="preserve"> </v>
      </c>
      <c r="F26" s="90" t="str">
        <f>IF(LOOKUP(O26,PPTO!$J$8:$J$269,PPTO!H$8:H$269)=0," ",LOOKUP(O26,PPTO!$J$8:$J$269,PPTO!H$8:H$269))</f>
        <v xml:space="preserve"> </v>
      </c>
      <c r="G26" s="476" t="e">
        <f t="shared" si="1"/>
        <v>#VALUE!</v>
      </c>
      <c r="H26" s="102" t="e">
        <f>'ACTA MODIFICACIÓN No.1'!K26+'ACTA MODIFICACIÓN No.2'!K26</f>
        <v>#VALUE!</v>
      </c>
      <c r="I26" s="102" t="e">
        <f t="shared" si="3"/>
        <v>#VALUE!</v>
      </c>
      <c r="J26" s="477" t="e">
        <f t="shared" si="2"/>
        <v>#VALUE!</v>
      </c>
      <c r="K26" s="102" t="e">
        <f t="shared" si="4"/>
        <v>#VALUE!</v>
      </c>
      <c r="L26" s="102" t="e">
        <f t="shared" si="5"/>
        <v>#VALUE!</v>
      </c>
      <c r="M26" s="175">
        <v>200</v>
      </c>
      <c r="N26" s="102" t="e">
        <f t="shared" si="6"/>
        <v>#VALUE!</v>
      </c>
      <c r="O26" s="108">
        <f t="shared" si="0"/>
        <v>9</v>
      </c>
    </row>
    <row r="27" spans="1:15">
      <c r="A27" s="87">
        <f>IF(LOOKUP(O27,PPTO!$J$8:$J$269,PPTO!A$8:A$269)=0," ",LOOKUP(O27,PPTO!$J$8:$J$269,PPTO!A$8:A$269))</f>
        <v>3</v>
      </c>
      <c r="B27" s="91" t="str">
        <f>IF(LOOKUP(O27,PPTO!$J$8:J$269,PPTO!B$8:B$269)=0," ",LOOKUP(O27,PPTO!$J$8:J$269,PPTO!B$8:B$269))</f>
        <v>MOVIMIENTOS DE TIERRA</v>
      </c>
      <c r="C27" s="89" t="str">
        <f>IF(LOOKUP(O27,PPTO!$J$8:$J$269,PPTO!D$8:D$269)=0," ",LOOKUP(O27,PPTO!$J$8:$J$269,PPTO!D$8:D$269))</f>
        <v xml:space="preserve"> </v>
      </c>
      <c r="D27" s="90" t="str">
        <f>IF(LOOKUP(O27,PPTO!$J$8:$J$269,PPTO!E$8:E$269)=0," ",LOOKUP(O27,PPTO!$J$8:$J$269,PPTO!E$8:E$269))</f>
        <v xml:space="preserve"> </v>
      </c>
      <c r="E27" s="90" t="str">
        <f>IF(LOOKUP(O27,PPTO!$J$8:$J$269,PPTO!F$8:F$269)=0," ",LOOKUP(O27,PPTO!$J$8:$J$269,PPTO!F$8:F$269))</f>
        <v xml:space="preserve"> </v>
      </c>
      <c r="F27" s="90" t="str">
        <f>IF(LOOKUP(O27,PPTO!$J$8:$J$269,PPTO!H$8:H$269)=0," ",LOOKUP(O27,PPTO!$J$8:$J$269,PPTO!H$8:H$269))</f>
        <v xml:space="preserve"> </v>
      </c>
      <c r="G27" s="476" t="str">
        <f t="shared" si="1"/>
        <v>+</v>
      </c>
      <c r="H27" s="102"/>
      <c r="I27" s="102"/>
      <c r="J27" s="477" t="str">
        <f t="shared" si="2"/>
        <v>+</v>
      </c>
      <c r="K27" s="102"/>
      <c r="L27" s="102"/>
      <c r="M27" s="175"/>
      <c r="N27" s="102"/>
      <c r="O27" s="108">
        <f t="shared" si="0"/>
        <v>10</v>
      </c>
    </row>
    <row r="28" spans="1:15">
      <c r="A28" s="87" t="str">
        <f>IF(LOOKUP(O28,PPTO!$J$8:$J$269,PPTO!A$8:A$269)=0," ",LOOKUP(O28,PPTO!$J$8:$J$269,PPTO!A$8:A$269))</f>
        <v>3.01</v>
      </c>
      <c r="B28" s="91" t="str">
        <f>IF(LOOKUP(O28,PPTO!$J$8:J$269,PPTO!B$8:B$269)=0," ",LOOKUP(O28,PPTO!$J$8:J$269,PPTO!B$8:B$269))</f>
        <v xml:space="preserve"> </v>
      </c>
      <c r="C28" s="89" t="str">
        <f>IF(LOOKUP(O28,PPTO!$J$8:$J$269,PPTO!D$8:D$269)=0," ",LOOKUP(O28,PPTO!$J$8:$J$269,PPTO!D$8:D$269))</f>
        <v>M3</v>
      </c>
      <c r="D28" s="90" t="str">
        <f>IF(LOOKUP(O28,PPTO!$J$8:$J$269,PPTO!E$8:E$269)=0," ",LOOKUP(O28,PPTO!$J$8:$J$269,PPTO!E$8:E$269))</f>
        <v xml:space="preserve"> </v>
      </c>
      <c r="E28" s="90" t="str">
        <f>IF(LOOKUP(O28,PPTO!$J$8:$J$269,PPTO!F$8:F$269)=0," ",LOOKUP(O28,PPTO!$J$8:$J$269,PPTO!F$8:F$269))</f>
        <v xml:space="preserve"> </v>
      </c>
      <c r="F28" s="90" t="str">
        <f>IF(LOOKUP(O28,PPTO!$J$8:$J$269,PPTO!H$8:H$269)=0," ",LOOKUP(O28,PPTO!$J$8:$J$269,PPTO!H$8:H$269))</f>
        <v xml:space="preserve"> </v>
      </c>
      <c r="G28" s="476" t="e">
        <f t="shared" si="1"/>
        <v>#VALUE!</v>
      </c>
      <c r="H28" s="102" t="e">
        <f>'ACTA MODIFICACIÓN No.1'!K28+'ACTA MODIFICACIÓN No.2'!K28</f>
        <v>#VALUE!</v>
      </c>
      <c r="I28" s="102" t="e">
        <f t="shared" si="3"/>
        <v>#VALUE!</v>
      </c>
      <c r="J28" s="477" t="e">
        <f t="shared" si="2"/>
        <v>#VALUE!</v>
      </c>
      <c r="K28" s="102" t="e">
        <f t="shared" si="4"/>
        <v>#VALUE!</v>
      </c>
      <c r="L28" s="102" t="e">
        <f t="shared" si="5"/>
        <v>#VALUE!</v>
      </c>
      <c r="M28" s="175">
        <v>243</v>
      </c>
      <c r="N28" s="102" t="e">
        <f t="shared" si="6"/>
        <v>#VALUE!</v>
      </c>
      <c r="O28" s="108">
        <f t="shared" si="0"/>
        <v>11</v>
      </c>
    </row>
    <row r="29" spans="1:15">
      <c r="A29" s="87" t="str">
        <f>IF(LOOKUP(O29,PPTO!$J$8:$J$269,PPTO!A$8:A$269)=0," ",LOOKUP(O29,PPTO!$J$8:$J$269,PPTO!A$8:A$269))</f>
        <v>3.02</v>
      </c>
      <c r="B29" s="91" t="str">
        <f>IF(LOOKUP(O29,PPTO!$J$8:J$269,PPTO!B$8:B$269)=0," ",LOOKUP(O29,PPTO!$J$8:J$269,PPTO!B$8:B$269))</f>
        <v xml:space="preserve"> </v>
      </c>
      <c r="C29" s="89" t="str">
        <f>IF(LOOKUP(O29,PPTO!$J$8:$J$269,PPTO!D$8:D$269)=0," ",LOOKUP(O29,PPTO!$J$8:$J$269,PPTO!D$8:D$269))</f>
        <v>M3</v>
      </c>
      <c r="D29" s="90" t="str">
        <f>IF(LOOKUP(O29,PPTO!$J$8:$J$269,PPTO!E$8:E$269)=0," ",LOOKUP(O29,PPTO!$J$8:$J$269,PPTO!E$8:E$269))</f>
        <v xml:space="preserve"> </v>
      </c>
      <c r="E29" s="90" t="str">
        <f>IF(LOOKUP(O29,PPTO!$J$8:$J$269,PPTO!F$8:F$269)=0," ",LOOKUP(O29,PPTO!$J$8:$J$269,PPTO!F$8:F$269))</f>
        <v xml:space="preserve"> </v>
      </c>
      <c r="F29" s="90" t="str">
        <f>IF(LOOKUP(O29,PPTO!$J$8:$J$269,PPTO!H$8:H$269)=0," ",LOOKUP(O29,PPTO!$J$8:$J$269,PPTO!H$8:H$269))</f>
        <v xml:space="preserve"> </v>
      </c>
      <c r="G29" s="476" t="e">
        <f t="shared" si="1"/>
        <v>#VALUE!</v>
      </c>
      <c r="H29" s="102" t="e">
        <f>'ACTA MODIFICACIÓN No.1'!K29+'ACTA MODIFICACIÓN No.2'!K29</f>
        <v>#VALUE!</v>
      </c>
      <c r="I29" s="102" t="e">
        <f t="shared" si="3"/>
        <v>#VALUE!</v>
      </c>
      <c r="J29" s="477" t="e">
        <f t="shared" si="2"/>
        <v>#VALUE!</v>
      </c>
      <c r="K29" s="102" t="e">
        <f t="shared" si="4"/>
        <v>#VALUE!</v>
      </c>
      <c r="L29" s="102" t="e">
        <f t="shared" si="5"/>
        <v>#VALUE!</v>
      </c>
      <c r="M29" s="175">
        <v>2018.33</v>
      </c>
      <c r="N29" s="102" t="e">
        <f t="shared" si="6"/>
        <v>#VALUE!</v>
      </c>
      <c r="O29" s="108">
        <f>O28+1</f>
        <v>12</v>
      </c>
    </row>
    <row r="30" spans="1:15">
      <c r="A30" s="87" t="str">
        <f>IF(LOOKUP(O30,PPTO!$J$8:$J$269,PPTO!A$8:A$269)=0," ",LOOKUP(O30,PPTO!$J$8:$J$269,PPTO!A$8:A$269))</f>
        <v>3.03</v>
      </c>
      <c r="B30" s="91" t="str">
        <f>IF(LOOKUP(O30,PPTO!$J$8:J$269,PPTO!B$8:B$269)=0," ",LOOKUP(O30,PPTO!$J$8:J$269,PPTO!B$8:B$269))</f>
        <v xml:space="preserve"> </v>
      </c>
      <c r="C30" s="89" t="str">
        <f>IF(LOOKUP(O30,PPTO!$J$8:$J$269,PPTO!D$8:D$269)=0," ",LOOKUP(O30,PPTO!$J$8:$J$269,PPTO!D$8:D$269))</f>
        <v>M3</v>
      </c>
      <c r="D30" s="90" t="str">
        <f>IF(LOOKUP(O30,PPTO!$J$8:$J$269,PPTO!E$8:E$269)=0," ",LOOKUP(O30,PPTO!$J$8:$J$269,PPTO!E$8:E$269))</f>
        <v xml:space="preserve"> </v>
      </c>
      <c r="E30" s="90" t="str">
        <f>IF(LOOKUP(O30,PPTO!$J$8:$J$269,PPTO!F$8:F$269)=0," ",LOOKUP(O30,PPTO!$J$8:$J$269,PPTO!F$8:F$269))</f>
        <v xml:space="preserve"> </v>
      </c>
      <c r="F30" s="90" t="str">
        <f>IF(LOOKUP(O30,PPTO!$J$8:$J$269,PPTO!H$8:H$269)=0," ",LOOKUP(O30,PPTO!$J$8:$J$269,PPTO!H$8:H$269))</f>
        <v xml:space="preserve"> </v>
      </c>
      <c r="G30" s="476" t="e">
        <f t="shared" si="1"/>
        <v>#VALUE!</v>
      </c>
      <c r="H30" s="102" t="e">
        <f>'ACTA MODIFICACIÓN No.1'!K30+'ACTA MODIFICACIÓN No.2'!K30</f>
        <v>#VALUE!</v>
      </c>
      <c r="I30" s="102" t="e">
        <f t="shared" si="3"/>
        <v>#VALUE!</v>
      </c>
      <c r="J30" s="477" t="e">
        <f t="shared" si="2"/>
        <v>#VALUE!</v>
      </c>
      <c r="K30" s="102" t="e">
        <f t="shared" si="4"/>
        <v>#VALUE!</v>
      </c>
      <c r="L30" s="102" t="e">
        <f t="shared" si="5"/>
        <v>#VALUE!</v>
      </c>
      <c r="M30" s="175">
        <v>1587.38</v>
      </c>
      <c r="N30" s="102" t="e">
        <f t="shared" si="6"/>
        <v>#VALUE!</v>
      </c>
      <c r="O30" s="108">
        <f>O29+1</f>
        <v>13</v>
      </c>
    </row>
    <row r="31" spans="1:15">
      <c r="A31" s="87" t="str">
        <f>IF(LOOKUP(O31,PPTO!$J$8:$J$269,PPTO!A$8:A$269)=0," ",LOOKUP(O31,PPTO!$J$8:$J$269,PPTO!A$8:A$269))</f>
        <v>3.04</v>
      </c>
      <c r="B31" s="91" t="str">
        <f>IF(LOOKUP(O31,PPTO!$J$8:J$269,PPTO!B$8:B$269)=0," ",LOOKUP(O31,PPTO!$J$8:J$269,PPTO!B$8:B$269))</f>
        <v xml:space="preserve"> </v>
      </c>
      <c r="C31" s="89" t="str">
        <f>IF(LOOKUP(O31,PPTO!$J$8:$J$269,PPTO!D$8:D$269)=0," ",LOOKUP(O31,PPTO!$J$8:$J$269,PPTO!D$8:D$269))</f>
        <v>M3</v>
      </c>
      <c r="D31" s="90" t="str">
        <f>IF(LOOKUP(O31,PPTO!$J$8:$J$269,PPTO!E$8:E$269)=0," ",LOOKUP(O31,PPTO!$J$8:$J$269,PPTO!E$8:E$269))</f>
        <v xml:space="preserve"> </v>
      </c>
      <c r="E31" s="90" t="str">
        <f>IF(LOOKUP(O31,PPTO!$J$8:$J$269,PPTO!F$8:F$269)=0," ",LOOKUP(O31,PPTO!$J$8:$J$269,PPTO!F$8:F$269))</f>
        <v xml:space="preserve"> </v>
      </c>
      <c r="F31" s="90" t="str">
        <f>IF(LOOKUP(O31,PPTO!$J$8:$J$269,PPTO!H$8:H$269)=0," ",LOOKUP(O31,PPTO!$J$8:$J$269,PPTO!H$8:H$269))</f>
        <v xml:space="preserve"> </v>
      </c>
      <c r="G31" s="476" t="e">
        <f t="shared" si="1"/>
        <v>#VALUE!</v>
      </c>
      <c r="H31" s="102" t="e">
        <f>'ACTA MODIFICACIÓN No.1'!K31+'ACTA MODIFICACIÓN No.2'!K31</f>
        <v>#VALUE!</v>
      </c>
      <c r="I31" s="102" t="e">
        <f t="shared" si="3"/>
        <v>#VALUE!</v>
      </c>
      <c r="J31" s="477" t="e">
        <f t="shared" si="2"/>
        <v>#VALUE!</v>
      </c>
      <c r="K31" s="102" t="e">
        <f t="shared" si="4"/>
        <v>#VALUE!</v>
      </c>
      <c r="L31" s="102" t="e">
        <f t="shared" si="5"/>
        <v>#VALUE!</v>
      </c>
      <c r="M31" s="175">
        <v>21041</v>
      </c>
      <c r="N31" s="102" t="e">
        <f t="shared" si="6"/>
        <v>#VALUE!</v>
      </c>
      <c r="O31" s="108">
        <f t="shared" si="0"/>
        <v>14</v>
      </c>
    </row>
    <row r="32" spans="1:15">
      <c r="A32" s="87" t="str">
        <f>IF(LOOKUP(O32,PPTO!$J$8:$J$269,PPTO!A$8:A$269)=0," ",LOOKUP(O32,PPTO!$J$8:$J$269,PPTO!A$8:A$269))</f>
        <v>3.05</v>
      </c>
      <c r="B32" s="91" t="str">
        <f>IF(LOOKUP(O32,PPTO!$J$8:J$269,PPTO!B$8:B$269)=0," ",LOOKUP(O32,PPTO!$J$8:J$269,PPTO!B$8:B$269))</f>
        <v xml:space="preserve"> </v>
      </c>
      <c r="C32" s="89" t="str">
        <f>IF(LOOKUP(O32,PPTO!$J$8:$J$269,PPTO!D$8:D$269)=0," ",LOOKUP(O32,PPTO!$J$8:$J$269,PPTO!D$8:D$269))</f>
        <v>M3</v>
      </c>
      <c r="D32" s="90" t="str">
        <f>IF(LOOKUP(O32,PPTO!$J$8:$J$269,PPTO!E$8:E$269)=0," ",LOOKUP(O32,PPTO!$J$8:$J$269,PPTO!E$8:E$269))</f>
        <v xml:space="preserve"> </v>
      </c>
      <c r="E32" s="90" t="str">
        <f>IF(LOOKUP(O32,PPTO!$J$8:$J$269,PPTO!F$8:F$269)=0," ",LOOKUP(O32,PPTO!$J$8:$J$269,PPTO!F$8:F$269))</f>
        <v xml:space="preserve"> </v>
      </c>
      <c r="F32" s="90" t="str">
        <f>IF(LOOKUP(O32,PPTO!$J$8:$J$269,PPTO!H$8:H$269)=0," ",LOOKUP(O32,PPTO!$J$8:$J$269,PPTO!H$8:H$269))</f>
        <v xml:space="preserve"> </v>
      </c>
      <c r="G32" s="476" t="e">
        <f t="shared" si="1"/>
        <v>#VALUE!</v>
      </c>
      <c r="H32" s="102" t="e">
        <f>'ACTA MODIFICACIÓN No.1'!K32+'ACTA MODIFICACIÓN No.2'!K32</f>
        <v>#VALUE!</v>
      </c>
      <c r="I32" s="102" t="e">
        <f t="shared" si="3"/>
        <v>#VALUE!</v>
      </c>
      <c r="J32" s="477" t="e">
        <f t="shared" si="2"/>
        <v>#VALUE!</v>
      </c>
      <c r="K32" s="102" t="e">
        <f t="shared" si="4"/>
        <v>#VALUE!</v>
      </c>
      <c r="L32" s="102" t="e">
        <f t="shared" si="5"/>
        <v>#VALUE!</v>
      </c>
      <c r="M32" s="175">
        <v>936.85</v>
      </c>
      <c r="N32" s="102" t="e">
        <f t="shared" si="6"/>
        <v>#VALUE!</v>
      </c>
      <c r="O32" s="108">
        <f t="shared" si="0"/>
        <v>15</v>
      </c>
    </row>
    <row r="33" spans="1:15">
      <c r="A33" s="87" t="str">
        <f>IF(LOOKUP(O33,PPTO!$J$8:$J$269,PPTO!A$8:A$269)=0," ",LOOKUP(O33,PPTO!$J$8:$J$269,PPTO!A$8:A$269))</f>
        <v>3.06</v>
      </c>
      <c r="B33" s="91" t="str">
        <f>IF(LOOKUP(O33,PPTO!$J$8:J$269,PPTO!B$8:B$269)=0," ",LOOKUP(O33,PPTO!$J$8:J$269,PPTO!B$8:B$269))</f>
        <v xml:space="preserve"> </v>
      </c>
      <c r="C33" s="89" t="str">
        <f>IF(LOOKUP(O33,PPTO!$J$8:$J$269,PPTO!D$8:D$269)=0," ",LOOKUP(O33,PPTO!$J$8:$J$269,PPTO!D$8:D$269))</f>
        <v>M3</v>
      </c>
      <c r="D33" s="90" t="str">
        <f>IF(LOOKUP(O33,PPTO!$J$8:$J$269,PPTO!E$8:E$269)=0," ",LOOKUP(O33,PPTO!$J$8:$J$269,PPTO!E$8:E$269))</f>
        <v xml:space="preserve"> </v>
      </c>
      <c r="E33" s="90" t="str">
        <f>IF(LOOKUP(O33,PPTO!$J$8:$J$269,PPTO!F$8:F$269)=0," ",LOOKUP(O33,PPTO!$J$8:$J$269,PPTO!F$8:F$269))</f>
        <v xml:space="preserve"> </v>
      </c>
      <c r="F33" s="90" t="str">
        <f>IF(LOOKUP(O33,PPTO!$J$8:$J$269,PPTO!H$8:H$269)=0," ",LOOKUP(O33,PPTO!$J$8:$J$269,PPTO!H$8:H$269))</f>
        <v xml:space="preserve"> </v>
      </c>
      <c r="G33" s="476" t="e">
        <f t="shared" si="1"/>
        <v>#VALUE!</v>
      </c>
      <c r="H33" s="102" t="e">
        <f>'ACTA MODIFICACIÓN No.1'!K33+'ACTA MODIFICACIÓN No.2'!K33</f>
        <v>#VALUE!</v>
      </c>
      <c r="I33" s="102" t="e">
        <f t="shared" si="3"/>
        <v>#VALUE!</v>
      </c>
      <c r="J33" s="477" t="e">
        <f t="shared" si="2"/>
        <v>#VALUE!</v>
      </c>
      <c r="K33" s="102" t="e">
        <f t="shared" si="4"/>
        <v>#VALUE!</v>
      </c>
      <c r="L33" s="102" t="e">
        <f t="shared" si="5"/>
        <v>#VALUE!</v>
      </c>
      <c r="M33" s="175">
        <v>2018.33</v>
      </c>
      <c r="N33" s="102" t="e">
        <f t="shared" si="6"/>
        <v>#VALUE!</v>
      </c>
      <c r="O33" s="108">
        <f t="shared" si="0"/>
        <v>16</v>
      </c>
    </row>
    <row r="34" spans="1:15">
      <c r="A34" s="87" t="str">
        <f>IF(LOOKUP(O34,PPTO!$J$8:$J$269,PPTO!A$8:A$269)=0," ",LOOKUP(O34,PPTO!$J$8:$J$269,PPTO!A$8:A$269))</f>
        <v>3.07</v>
      </c>
      <c r="B34" s="91" t="str">
        <f>IF(LOOKUP(O34,PPTO!$J$8:J$269,PPTO!B$8:B$269)=0," ",LOOKUP(O34,PPTO!$J$8:J$269,PPTO!B$8:B$269))</f>
        <v xml:space="preserve"> </v>
      </c>
      <c r="C34" s="89" t="str">
        <f>IF(LOOKUP(O34,PPTO!$J$8:$J$269,PPTO!D$8:D$269)=0," ",LOOKUP(O34,PPTO!$J$8:$J$269,PPTO!D$8:D$269))</f>
        <v>M3</v>
      </c>
      <c r="D34" s="90" t="str">
        <f>IF(LOOKUP(O34,PPTO!$J$8:$J$269,PPTO!E$8:E$269)=0," ",LOOKUP(O34,PPTO!$J$8:$J$269,PPTO!E$8:E$269))</f>
        <v xml:space="preserve"> </v>
      </c>
      <c r="E34" s="90" t="str">
        <f>IF(LOOKUP(O34,PPTO!$J$8:$J$269,PPTO!F$8:F$269)=0," ",LOOKUP(O34,PPTO!$J$8:$J$269,PPTO!F$8:F$269))</f>
        <v xml:space="preserve"> </v>
      </c>
      <c r="F34" s="90" t="str">
        <f>IF(LOOKUP(O34,PPTO!$J$8:$J$269,PPTO!H$8:H$269)=0," ",LOOKUP(O34,PPTO!$J$8:$J$269,PPTO!H$8:H$269))</f>
        <v xml:space="preserve"> </v>
      </c>
      <c r="G34" s="476" t="e">
        <f t="shared" si="1"/>
        <v>#VALUE!</v>
      </c>
      <c r="H34" s="102" t="e">
        <f>'ACTA MODIFICACIÓN No.1'!K34+'ACTA MODIFICACIÓN No.2'!K34</f>
        <v>#VALUE!</v>
      </c>
      <c r="I34" s="102" t="e">
        <f t="shared" si="3"/>
        <v>#VALUE!</v>
      </c>
      <c r="J34" s="477" t="e">
        <f t="shared" si="2"/>
        <v>#VALUE!</v>
      </c>
      <c r="K34" s="102" t="e">
        <f t="shared" si="4"/>
        <v>#VALUE!</v>
      </c>
      <c r="L34" s="102" t="e">
        <f t="shared" si="5"/>
        <v>#VALUE!</v>
      </c>
      <c r="M34" s="175">
        <v>1587.38</v>
      </c>
      <c r="N34" s="102" t="e">
        <f t="shared" si="6"/>
        <v>#VALUE!</v>
      </c>
      <c r="O34" s="108">
        <f t="shared" si="0"/>
        <v>17</v>
      </c>
    </row>
    <row r="35" spans="1:15">
      <c r="A35" s="87" t="str">
        <f>IF(LOOKUP(O35,PPTO!$J$8:$J$269,PPTO!A$8:A$269)=0," ",LOOKUP(O35,PPTO!$J$8:$J$269,PPTO!A$8:A$269))</f>
        <v>3.08</v>
      </c>
      <c r="B35" s="91" t="str">
        <f>IF(LOOKUP(O35,PPTO!$J$8:J$269,PPTO!B$8:B$269)=0," ",LOOKUP(O35,PPTO!$J$8:J$269,PPTO!B$8:B$269))</f>
        <v xml:space="preserve"> </v>
      </c>
      <c r="C35" s="89" t="str">
        <f>IF(LOOKUP(O35,PPTO!$J$8:$J$269,PPTO!D$8:D$269)=0," ",LOOKUP(O35,PPTO!$J$8:$J$269,PPTO!D$8:D$269))</f>
        <v>M2</v>
      </c>
      <c r="D35" s="90" t="str">
        <f>IF(LOOKUP(O35,PPTO!$J$8:$J$269,PPTO!E$8:E$269)=0," ",LOOKUP(O35,PPTO!$J$8:$J$269,PPTO!E$8:E$269))</f>
        <v xml:space="preserve"> </v>
      </c>
      <c r="E35" s="90" t="str">
        <f>IF(LOOKUP(O35,PPTO!$J$8:$J$269,PPTO!F$8:F$269)=0," ",LOOKUP(O35,PPTO!$J$8:$J$269,PPTO!F$8:F$269))</f>
        <v xml:space="preserve"> </v>
      </c>
      <c r="F35" s="90" t="str">
        <f>IF(LOOKUP(O35,PPTO!$J$8:$J$269,PPTO!H$8:H$269)=0," ",LOOKUP(O35,PPTO!$J$8:$J$269,PPTO!H$8:H$269))</f>
        <v xml:space="preserve"> </v>
      </c>
      <c r="G35" s="476" t="e">
        <f t="shared" si="1"/>
        <v>#VALUE!</v>
      </c>
      <c r="H35" s="102" t="e">
        <f>'ACTA MODIFICACIÓN No.1'!K35+'ACTA MODIFICACIÓN No.2'!K35</f>
        <v>#VALUE!</v>
      </c>
      <c r="I35" s="102" t="e">
        <f t="shared" si="3"/>
        <v>#VALUE!</v>
      </c>
      <c r="J35" s="477" t="e">
        <f t="shared" si="2"/>
        <v>#VALUE!</v>
      </c>
      <c r="K35" s="102" t="e">
        <f t="shared" si="4"/>
        <v>#VALUE!</v>
      </c>
      <c r="L35" s="102" t="e">
        <f t="shared" si="5"/>
        <v>#VALUE!</v>
      </c>
      <c r="M35" s="175">
        <v>10500</v>
      </c>
      <c r="N35" s="102" t="e">
        <f t="shared" si="6"/>
        <v>#VALUE!</v>
      </c>
      <c r="O35" s="108">
        <f t="shared" si="0"/>
        <v>18</v>
      </c>
    </row>
    <row r="36" spans="1:15">
      <c r="A36" s="87" t="str">
        <f>IF(LOOKUP(O36,PPTO!$J$8:$J$269,PPTO!A$8:A$269)=0," ",LOOKUP(O36,PPTO!$J$8:$J$269,PPTO!A$8:A$269))</f>
        <v>3.09</v>
      </c>
      <c r="B36" s="91" t="str">
        <f>IF(LOOKUP(O36,PPTO!$J$8:J$269,PPTO!B$8:B$269)=0," ",LOOKUP(O36,PPTO!$J$8:J$269,PPTO!B$8:B$269))</f>
        <v xml:space="preserve"> </v>
      </c>
      <c r="C36" s="89" t="str">
        <f>IF(LOOKUP(O36,PPTO!$J$8:$J$269,PPTO!D$8:D$269)=0," ",LOOKUP(O36,PPTO!$J$8:$J$269,PPTO!D$8:D$269))</f>
        <v>UND</v>
      </c>
      <c r="D36" s="90" t="str">
        <f>IF(LOOKUP(O36,PPTO!$J$8:$J$269,PPTO!E$8:E$269)=0," ",LOOKUP(O36,PPTO!$J$8:$J$269,PPTO!E$8:E$269))</f>
        <v xml:space="preserve"> </v>
      </c>
      <c r="E36" s="90" t="str">
        <f>IF(LOOKUP(O36,PPTO!$J$8:$J$269,PPTO!F$8:F$269)=0," ",LOOKUP(O36,PPTO!$J$8:$J$269,PPTO!F$8:F$269))</f>
        <v xml:space="preserve"> </v>
      </c>
      <c r="F36" s="90" t="str">
        <f>IF(LOOKUP(O36,PPTO!$J$8:$J$269,PPTO!H$8:H$269)=0," ",LOOKUP(O36,PPTO!$J$8:$J$269,PPTO!H$8:H$269))</f>
        <v xml:space="preserve"> </v>
      </c>
      <c r="G36" s="476" t="e">
        <f t="shared" si="1"/>
        <v>#VALUE!</v>
      </c>
      <c r="H36" s="102" t="e">
        <f>'ACTA MODIFICACIÓN No.1'!K36+'ACTA MODIFICACIÓN No.2'!K36</f>
        <v>#VALUE!</v>
      </c>
      <c r="I36" s="102" t="e">
        <f t="shared" si="3"/>
        <v>#VALUE!</v>
      </c>
      <c r="J36" s="477" t="e">
        <f t="shared" si="2"/>
        <v>#VALUE!</v>
      </c>
      <c r="K36" s="102" t="e">
        <f t="shared" si="4"/>
        <v>#VALUE!</v>
      </c>
      <c r="L36" s="102" t="e">
        <f t="shared" si="5"/>
        <v>#VALUE!</v>
      </c>
      <c r="M36" s="175">
        <v>936.85</v>
      </c>
      <c r="N36" s="102" t="e">
        <f t="shared" si="6"/>
        <v>#VALUE!</v>
      </c>
      <c r="O36" s="108">
        <f t="shared" si="0"/>
        <v>19</v>
      </c>
    </row>
    <row r="37" spans="1:15">
      <c r="A37" s="87" t="str">
        <f>IF(LOOKUP(O37,PPTO!$J$8:$J$269,PPTO!A$8:A$269)=0," ",LOOKUP(O37,PPTO!$J$8:$J$269,PPTO!A$8:A$269))</f>
        <v>3.10</v>
      </c>
      <c r="B37" s="91" t="str">
        <f>IF(LOOKUP(O37,PPTO!$J$8:J$269,PPTO!B$8:B$269)=0," ",LOOKUP(O37,PPTO!$J$8:J$269,PPTO!B$8:B$269))</f>
        <v xml:space="preserve"> </v>
      </c>
      <c r="C37" s="89" t="str">
        <f>IF(LOOKUP(O37,PPTO!$J$8:$J$269,PPTO!D$8:D$269)=0," ",LOOKUP(O37,PPTO!$J$8:$J$269,PPTO!D$8:D$269))</f>
        <v>M3</v>
      </c>
      <c r="D37" s="90" t="str">
        <f>IF(LOOKUP(O37,PPTO!$J$8:$J$269,PPTO!E$8:E$269)=0," ",LOOKUP(O37,PPTO!$J$8:$J$269,PPTO!E$8:E$269))</f>
        <v xml:space="preserve"> </v>
      </c>
      <c r="E37" s="90" t="str">
        <f>IF(LOOKUP(O37,PPTO!$J$8:$J$269,PPTO!F$8:F$269)=0," ",LOOKUP(O37,PPTO!$J$8:$J$269,PPTO!F$8:F$269))</f>
        <v xml:space="preserve"> </v>
      </c>
      <c r="F37" s="90" t="str">
        <f>IF(LOOKUP(O37,PPTO!$J$8:$J$269,PPTO!H$8:H$269)=0," ",LOOKUP(O37,PPTO!$J$8:$J$269,PPTO!H$8:H$269))</f>
        <v xml:space="preserve"> </v>
      </c>
      <c r="G37" s="476" t="e">
        <f t="shared" si="1"/>
        <v>#VALUE!</v>
      </c>
      <c r="H37" s="102" t="e">
        <f>'ACTA MODIFICACIÓN No.1'!K37+'ACTA MODIFICACIÓN No.2'!K37</f>
        <v>#VALUE!</v>
      </c>
      <c r="I37" s="102" t="e">
        <f t="shared" si="3"/>
        <v>#VALUE!</v>
      </c>
      <c r="J37" s="477" t="e">
        <f t="shared" si="2"/>
        <v>#VALUE!</v>
      </c>
      <c r="K37" s="102" t="e">
        <f t="shared" si="4"/>
        <v>#VALUE!</v>
      </c>
      <c r="L37" s="102" t="e">
        <f t="shared" si="5"/>
        <v>#VALUE!</v>
      </c>
      <c r="M37" s="175">
        <v>2018.33</v>
      </c>
      <c r="N37" s="102" t="e">
        <f t="shared" si="6"/>
        <v>#VALUE!</v>
      </c>
      <c r="O37" s="108">
        <f t="shared" si="0"/>
        <v>20</v>
      </c>
    </row>
    <row r="38" spans="1:15">
      <c r="A38" s="87" t="str">
        <f>IF(LOOKUP(O38,PPTO!$J$8:$J$269,PPTO!A$8:A$269)=0," ",LOOKUP(O38,PPTO!$J$8:$J$269,PPTO!A$8:A$269))</f>
        <v>3.11</v>
      </c>
      <c r="B38" s="91" t="str">
        <f>IF(LOOKUP(O38,PPTO!$J$8:J$269,PPTO!B$8:B$269)=0," ",LOOKUP(O38,PPTO!$J$8:J$269,PPTO!B$8:B$269))</f>
        <v xml:space="preserve"> </v>
      </c>
      <c r="C38" s="89" t="str">
        <f>IF(LOOKUP(O38,PPTO!$J$8:$J$269,PPTO!D$8:D$269)=0," ",LOOKUP(O38,PPTO!$J$8:$J$269,PPTO!D$8:D$269))</f>
        <v>M3</v>
      </c>
      <c r="D38" s="90" t="str">
        <f>IF(LOOKUP(O38,PPTO!$J$8:$J$269,PPTO!E$8:E$269)=0," ",LOOKUP(O38,PPTO!$J$8:$J$269,PPTO!E$8:E$269))</f>
        <v xml:space="preserve"> </v>
      </c>
      <c r="E38" s="90" t="str">
        <f>IF(LOOKUP(O38,PPTO!$J$8:$J$269,PPTO!F$8:F$269)=0," ",LOOKUP(O38,PPTO!$J$8:$J$269,PPTO!F$8:F$269))</f>
        <v xml:space="preserve"> </v>
      </c>
      <c r="F38" s="90" t="str">
        <f>IF(LOOKUP(O38,PPTO!$J$8:$J$269,PPTO!H$8:H$269)=0," ",LOOKUP(O38,PPTO!$J$8:$J$269,PPTO!H$8:H$269))</f>
        <v xml:space="preserve"> </v>
      </c>
      <c r="G38" s="476" t="e">
        <f t="shared" si="1"/>
        <v>#VALUE!</v>
      </c>
      <c r="H38" s="102" t="e">
        <f>'ACTA MODIFICACIÓN No.1'!K38+'ACTA MODIFICACIÓN No.2'!K38</f>
        <v>#VALUE!</v>
      </c>
      <c r="I38" s="102" t="e">
        <f t="shared" si="3"/>
        <v>#VALUE!</v>
      </c>
      <c r="J38" s="477" t="e">
        <f t="shared" si="2"/>
        <v>#VALUE!</v>
      </c>
      <c r="K38" s="102" t="e">
        <f t="shared" si="4"/>
        <v>#VALUE!</v>
      </c>
      <c r="L38" s="102" t="e">
        <f t="shared" si="5"/>
        <v>#VALUE!</v>
      </c>
      <c r="M38" s="175">
        <v>18000</v>
      </c>
      <c r="N38" s="102" t="e">
        <f t="shared" si="6"/>
        <v>#VALUE!</v>
      </c>
      <c r="O38" s="108">
        <f t="shared" si="0"/>
        <v>21</v>
      </c>
    </row>
    <row r="39" spans="1:15">
      <c r="A39" s="87" t="str">
        <f>IF(LOOKUP(O39,PPTO!$J$8:$J$269,PPTO!A$8:A$269)=0," ",LOOKUP(O39,PPTO!$J$8:$J$269,PPTO!A$8:A$269))</f>
        <v>3.12</v>
      </c>
      <c r="B39" s="91" t="str">
        <f>IF(LOOKUP(O39,PPTO!$J$8:J$269,PPTO!B$8:B$269)=0," ",LOOKUP(O39,PPTO!$J$8:J$269,PPTO!B$8:B$269))</f>
        <v xml:space="preserve"> </v>
      </c>
      <c r="C39" s="89" t="str">
        <f>IF(LOOKUP(O39,PPTO!$J$8:$J$269,PPTO!D$8:D$269)=0," ",LOOKUP(O39,PPTO!$J$8:$J$269,PPTO!D$8:D$269))</f>
        <v>M3</v>
      </c>
      <c r="D39" s="90" t="str">
        <f>IF(LOOKUP(O39,PPTO!$J$8:$J$269,PPTO!E$8:E$269)=0," ",LOOKUP(O39,PPTO!$J$8:$J$269,PPTO!E$8:E$269))</f>
        <v xml:space="preserve"> </v>
      </c>
      <c r="E39" s="90" t="str">
        <f>IF(LOOKUP(O39,PPTO!$J$8:$J$269,PPTO!F$8:F$269)=0," ",LOOKUP(O39,PPTO!$J$8:$J$269,PPTO!F$8:F$269))</f>
        <v xml:space="preserve"> </v>
      </c>
      <c r="F39" s="90" t="str">
        <f>IF(LOOKUP(O39,PPTO!$J$8:$J$269,PPTO!H$8:H$269)=0," ",LOOKUP(O39,PPTO!$J$8:$J$269,PPTO!H$8:H$269))</f>
        <v xml:space="preserve"> </v>
      </c>
      <c r="G39" s="476" t="e">
        <f t="shared" si="1"/>
        <v>#VALUE!</v>
      </c>
      <c r="H39" s="102" t="e">
        <f>'ACTA MODIFICACIÓN No.1'!K39+'ACTA MODIFICACIÓN No.2'!K39</f>
        <v>#VALUE!</v>
      </c>
      <c r="I39" s="102" t="e">
        <f t="shared" si="3"/>
        <v>#VALUE!</v>
      </c>
      <c r="J39" s="477" t="e">
        <f t="shared" si="2"/>
        <v>#VALUE!</v>
      </c>
      <c r="K39" s="102" t="e">
        <f t="shared" si="4"/>
        <v>#VALUE!</v>
      </c>
      <c r="L39" s="102" t="e">
        <f t="shared" si="5"/>
        <v>#VALUE!</v>
      </c>
      <c r="M39" s="175">
        <v>3173.33</v>
      </c>
      <c r="N39" s="102" t="e">
        <f t="shared" si="6"/>
        <v>#VALUE!</v>
      </c>
      <c r="O39" s="108">
        <f t="shared" si="0"/>
        <v>22</v>
      </c>
    </row>
    <row r="40" spans="1:15">
      <c r="A40" s="87">
        <f>IF(LOOKUP(O40,PPTO!$J$8:$J$269,PPTO!A$8:A$269)=0," ",LOOKUP(O40,PPTO!$J$8:$J$269,PPTO!A$8:A$269))</f>
        <v>4</v>
      </c>
      <c r="B40" s="91" t="str">
        <f>IF(LOOKUP(O40,PPTO!$J$8:J$269,PPTO!B$8:B$269)=0," ",LOOKUP(O40,PPTO!$J$8:J$269,PPTO!B$8:B$269))</f>
        <v>TUBERIA DE ALCANTARILLADO</v>
      </c>
      <c r="C40" s="89" t="str">
        <f>IF(LOOKUP(O40,PPTO!$J$8:$J$269,PPTO!D$8:D$269)=0," ",LOOKUP(O40,PPTO!$J$8:$J$269,PPTO!D$8:D$269))</f>
        <v xml:space="preserve"> </v>
      </c>
      <c r="D40" s="90" t="str">
        <f>IF(LOOKUP(O40,PPTO!$J$8:$J$269,PPTO!E$8:E$269)=0," ",LOOKUP(O40,PPTO!$J$8:$J$269,PPTO!E$8:E$269))</f>
        <v xml:space="preserve"> </v>
      </c>
      <c r="E40" s="90" t="str">
        <f>IF(LOOKUP(O40,PPTO!$J$8:$J$269,PPTO!F$8:F$269)=0," ",LOOKUP(O40,PPTO!$J$8:$J$269,PPTO!F$8:F$269))</f>
        <v xml:space="preserve"> </v>
      </c>
      <c r="F40" s="90" t="str">
        <f>IF(LOOKUP(O40,PPTO!$J$8:$J$269,PPTO!H$8:H$269)=0," ",LOOKUP(O40,PPTO!$J$8:$J$269,PPTO!H$8:H$269))</f>
        <v xml:space="preserve"> </v>
      </c>
      <c r="G40" s="476" t="str">
        <f t="shared" si="1"/>
        <v>+</v>
      </c>
      <c r="H40" s="102"/>
      <c r="I40" s="102"/>
      <c r="J40" s="477" t="str">
        <f t="shared" si="2"/>
        <v>+</v>
      </c>
      <c r="K40" s="102"/>
      <c r="L40" s="102"/>
      <c r="M40" s="175"/>
      <c r="N40" s="102"/>
      <c r="O40" s="108">
        <f t="shared" si="0"/>
        <v>23</v>
      </c>
    </row>
    <row r="41" spans="1:15">
      <c r="A41" s="87" t="str">
        <f>IF(LOOKUP(O41,PPTO!$J$8:$J$269,PPTO!A$8:A$269)=0," ",LOOKUP(O41,PPTO!$J$8:$J$269,PPTO!A$8:A$269))</f>
        <v>4.01</v>
      </c>
      <c r="B41" s="91" t="str">
        <f>IF(LOOKUP(O41,PPTO!$J$8:J$269,PPTO!B$8:B$269)=0," ",LOOKUP(O41,PPTO!$J$8:J$269,PPTO!B$8:B$269))</f>
        <v xml:space="preserve"> </v>
      </c>
      <c r="C41" s="89" t="str">
        <f>IF(LOOKUP(O41,PPTO!$J$8:$J$269,PPTO!D$8:D$269)=0," ",LOOKUP(O41,PPTO!$J$8:$J$269,PPTO!D$8:D$269))</f>
        <v>ML</v>
      </c>
      <c r="D41" s="90" t="str">
        <f>IF(LOOKUP(O41,PPTO!$J$8:$J$269,PPTO!E$8:E$269)=0," ",LOOKUP(O41,PPTO!$J$8:$J$269,PPTO!E$8:E$269))</f>
        <v xml:space="preserve"> </v>
      </c>
      <c r="E41" s="90" t="str">
        <f>IF(LOOKUP(O41,PPTO!$J$8:$J$269,PPTO!F$8:F$269)=0," ",LOOKUP(O41,PPTO!$J$8:$J$269,PPTO!F$8:F$269))</f>
        <v xml:space="preserve"> </v>
      </c>
      <c r="F41" s="90" t="str">
        <f>IF(LOOKUP(O41,PPTO!$J$8:$J$269,PPTO!H$8:H$269)=0," ",LOOKUP(O41,PPTO!$J$8:$J$269,PPTO!H$8:H$269))</f>
        <v xml:space="preserve"> </v>
      </c>
      <c r="G41" s="476" t="e">
        <f t="shared" si="1"/>
        <v>#VALUE!</v>
      </c>
      <c r="H41" s="102" t="e">
        <f>'ACTA MODIFICACIÓN No.1'!K41+'ACTA MODIFICACIÓN No.2'!K41</f>
        <v>#VALUE!</v>
      </c>
      <c r="I41" s="102" t="e">
        <f t="shared" si="3"/>
        <v>#VALUE!</v>
      </c>
      <c r="J41" s="477" t="e">
        <f t="shared" si="2"/>
        <v>#VALUE!</v>
      </c>
      <c r="K41" s="102" t="e">
        <f t="shared" si="4"/>
        <v>#VALUE!</v>
      </c>
      <c r="L41" s="102" t="e">
        <f t="shared" si="5"/>
        <v>#VALUE!</v>
      </c>
      <c r="M41" s="175">
        <v>7554</v>
      </c>
      <c r="N41" s="102" t="e">
        <f t="shared" si="6"/>
        <v>#VALUE!</v>
      </c>
      <c r="O41" s="108">
        <f t="shared" si="0"/>
        <v>24</v>
      </c>
    </row>
    <row r="42" spans="1:15">
      <c r="A42" s="87" t="str">
        <f>IF(LOOKUP(O42,PPTO!$J$8:$J$269,PPTO!A$8:A$269)=0," ",LOOKUP(O42,PPTO!$J$8:$J$269,PPTO!A$8:A$269))</f>
        <v>4.02</v>
      </c>
      <c r="B42" s="91" t="str">
        <f>IF(LOOKUP(O42,PPTO!$J$8:J$269,PPTO!B$8:B$269)=0," ",LOOKUP(O42,PPTO!$J$8:J$269,PPTO!B$8:B$269))</f>
        <v xml:space="preserve"> </v>
      </c>
      <c r="C42" s="89" t="str">
        <f>IF(LOOKUP(O42,PPTO!$J$8:$J$269,PPTO!D$8:D$269)=0," ",LOOKUP(O42,PPTO!$J$8:$J$269,PPTO!D$8:D$269))</f>
        <v>ML</v>
      </c>
      <c r="D42" s="90" t="str">
        <f>IF(LOOKUP(O42,PPTO!$J$8:$J$269,PPTO!E$8:E$269)=0," ",LOOKUP(O42,PPTO!$J$8:$J$269,PPTO!E$8:E$269))</f>
        <v xml:space="preserve"> </v>
      </c>
      <c r="E42" s="90" t="str">
        <f>IF(LOOKUP(O42,PPTO!$J$8:$J$269,PPTO!F$8:F$269)=0," ",LOOKUP(O42,PPTO!$J$8:$J$269,PPTO!F$8:F$269))</f>
        <v xml:space="preserve"> </v>
      </c>
      <c r="F42" s="90" t="str">
        <f>IF(LOOKUP(O42,PPTO!$J$8:$J$269,PPTO!H$8:H$269)=0," ",LOOKUP(O42,PPTO!$J$8:$J$269,PPTO!H$8:H$269))</f>
        <v xml:space="preserve"> </v>
      </c>
      <c r="G42" s="476" t="e">
        <f t="shared" si="1"/>
        <v>#VALUE!</v>
      </c>
      <c r="H42" s="102" t="e">
        <f>'ACTA MODIFICACIÓN No.1'!K42+'ACTA MODIFICACIÓN No.2'!K42</f>
        <v>#VALUE!</v>
      </c>
      <c r="I42" s="102" t="e">
        <f t="shared" si="3"/>
        <v>#VALUE!</v>
      </c>
      <c r="J42" s="477" t="e">
        <f t="shared" si="2"/>
        <v>#VALUE!</v>
      </c>
      <c r="K42" s="102" t="e">
        <f t="shared" si="4"/>
        <v>#VALUE!</v>
      </c>
      <c r="L42" s="102" t="e">
        <f t="shared" si="5"/>
        <v>#VALUE!</v>
      </c>
      <c r="M42" s="175">
        <v>10629.07</v>
      </c>
      <c r="N42" s="102" t="e">
        <f t="shared" si="6"/>
        <v>#VALUE!</v>
      </c>
      <c r="O42" s="108">
        <f t="shared" si="0"/>
        <v>25</v>
      </c>
    </row>
    <row r="43" spans="1:15">
      <c r="A43" s="87" t="str">
        <f>IF(LOOKUP(O43,PPTO!$J$8:$J$269,PPTO!A$8:A$269)=0," ",LOOKUP(O43,PPTO!$J$8:$J$269,PPTO!A$8:A$269))</f>
        <v>4.03</v>
      </c>
      <c r="B43" s="91" t="str">
        <f>IF(LOOKUP(O43,PPTO!$J$8:J$269,PPTO!B$8:B$269)=0," ",LOOKUP(O43,PPTO!$J$8:J$269,PPTO!B$8:B$269))</f>
        <v xml:space="preserve"> </v>
      </c>
      <c r="C43" s="89" t="str">
        <f>IF(LOOKUP(O43,PPTO!$J$8:$J$269,PPTO!D$8:D$269)=0," ",LOOKUP(O43,PPTO!$J$8:$J$269,PPTO!D$8:D$269))</f>
        <v>ML</v>
      </c>
      <c r="D43" s="90" t="str">
        <f>IF(LOOKUP(O43,PPTO!$J$8:$J$269,PPTO!E$8:E$269)=0," ",LOOKUP(O43,PPTO!$J$8:$J$269,PPTO!E$8:E$269))</f>
        <v xml:space="preserve"> </v>
      </c>
      <c r="E43" s="90" t="str">
        <f>IF(LOOKUP(O43,PPTO!$J$8:$J$269,PPTO!F$8:F$269)=0," ",LOOKUP(O43,PPTO!$J$8:$J$269,PPTO!F$8:F$269))</f>
        <v xml:space="preserve"> </v>
      </c>
      <c r="F43" s="90" t="str">
        <f>IF(LOOKUP(O43,PPTO!$J$8:$J$269,PPTO!H$8:H$269)=0," ",LOOKUP(O43,PPTO!$J$8:$J$269,PPTO!H$8:H$269))</f>
        <v xml:space="preserve"> </v>
      </c>
      <c r="G43" s="476" t="e">
        <f t="shared" si="1"/>
        <v>#VALUE!</v>
      </c>
      <c r="H43" s="102" t="e">
        <f>'ACTA MODIFICACIÓN No.1'!K43+'ACTA MODIFICACIÓN No.2'!K43</f>
        <v>#VALUE!</v>
      </c>
      <c r="I43" s="102" t="e">
        <f t="shared" si="3"/>
        <v>#VALUE!</v>
      </c>
      <c r="J43" s="477" t="e">
        <f t="shared" si="2"/>
        <v>#VALUE!</v>
      </c>
      <c r="K43" s="102" t="e">
        <f t="shared" si="4"/>
        <v>#VALUE!</v>
      </c>
      <c r="L43" s="102" t="e">
        <f t="shared" si="5"/>
        <v>#VALUE!</v>
      </c>
      <c r="M43" s="175">
        <v>119.02</v>
      </c>
      <c r="N43" s="102" t="e">
        <f t="shared" si="6"/>
        <v>#VALUE!</v>
      </c>
      <c r="O43" s="108">
        <f t="shared" si="0"/>
        <v>26</v>
      </c>
    </row>
    <row r="44" spans="1:15">
      <c r="A44" s="87" t="str">
        <f>IF(LOOKUP(O44,PPTO!$J$8:$J$269,PPTO!A$8:A$269)=0," ",LOOKUP(O44,PPTO!$J$8:$J$269,PPTO!A$8:A$269))</f>
        <v>4.04</v>
      </c>
      <c r="B44" s="91" t="str">
        <f>IF(LOOKUP(O44,PPTO!$J$8:J$269,PPTO!B$8:B$269)=0," ",LOOKUP(O44,PPTO!$J$8:J$269,PPTO!B$8:B$269))</f>
        <v xml:space="preserve"> </v>
      </c>
      <c r="C44" s="89" t="str">
        <f>IF(LOOKUP(O44,PPTO!$J$8:$J$269,PPTO!D$8:D$269)=0," ",LOOKUP(O44,PPTO!$J$8:$J$269,PPTO!D$8:D$269))</f>
        <v>ML</v>
      </c>
      <c r="D44" s="90" t="str">
        <f>IF(LOOKUP(O44,PPTO!$J$8:$J$269,PPTO!E$8:E$269)=0," ",LOOKUP(O44,PPTO!$J$8:$J$269,PPTO!E$8:E$269))</f>
        <v xml:space="preserve"> </v>
      </c>
      <c r="E44" s="90" t="str">
        <f>IF(LOOKUP(O44,PPTO!$J$8:$J$269,PPTO!F$8:F$269)=0," ",LOOKUP(O44,PPTO!$J$8:$J$269,PPTO!F$8:F$269))</f>
        <v xml:space="preserve"> </v>
      </c>
      <c r="F44" s="90" t="str">
        <f>IF(LOOKUP(O44,PPTO!$J$8:$J$269,PPTO!H$8:H$269)=0," ",LOOKUP(O44,PPTO!$J$8:$J$269,PPTO!H$8:H$269))</f>
        <v xml:space="preserve"> </v>
      </c>
      <c r="G44" s="476" t="e">
        <f t="shared" si="1"/>
        <v>#VALUE!</v>
      </c>
      <c r="H44" s="102" t="e">
        <f>'ACTA MODIFICACIÓN No.1'!K44+'ACTA MODIFICACIÓN No.2'!K44</f>
        <v>#VALUE!</v>
      </c>
      <c r="I44" s="102" t="e">
        <f t="shared" si="3"/>
        <v>#VALUE!</v>
      </c>
      <c r="J44" s="477" t="e">
        <f t="shared" si="2"/>
        <v>#VALUE!</v>
      </c>
      <c r="K44" s="102" t="e">
        <f t="shared" si="4"/>
        <v>#VALUE!</v>
      </c>
      <c r="L44" s="102" t="e">
        <f t="shared" si="5"/>
        <v>#VALUE!</v>
      </c>
      <c r="M44" s="175">
        <v>293.73</v>
      </c>
      <c r="N44" s="102" t="e">
        <f t="shared" si="6"/>
        <v>#VALUE!</v>
      </c>
      <c r="O44" s="108">
        <f t="shared" si="0"/>
        <v>27</v>
      </c>
    </row>
    <row r="45" spans="1:15">
      <c r="A45" s="87" t="str">
        <f>IF(LOOKUP(O45,PPTO!$J$8:$J$269,PPTO!A$8:A$269)=0," ",LOOKUP(O45,PPTO!$J$8:$J$269,PPTO!A$8:A$269))</f>
        <v>4.05</v>
      </c>
      <c r="B45" s="91" t="str">
        <f>IF(LOOKUP(O45,PPTO!$J$8:J$269,PPTO!B$8:B$269)=0," ",LOOKUP(O45,PPTO!$J$8:J$269,PPTO!B$8:B$269))</f>
        <v xml:space="preserve"> </v>
      </c>
      <c r="C45" s="89" t="str">
        <f>IF(LOOKUP(O45,PPTO!$J$8:$J$269,PPTO!D$8:D$269)=0," ",LOOKUP(O45,PPTO!$J$8:$J$269,PPTO!D$8:D$269))</f>
        <v>ML</v>
      </c>
      <c r="D45" s="90" t="str">
        <f>IF(LOOKUP(O45,PPTO!$J$8:$J$269,PPTO!E$8:E$269)=0," ",LOOKUP(O45,PPTO!$J$8:$J$269,PPTO!E$8:E$269))</f>
        <v xml:space="preserve"> </v>
      </c>
      <c r="E45" s="90" t="str">
        <f>IF(LOOKUP(O45,PPTO!$J$8:$J$269,PPTO!F$8:F$269)=0," ",LOOKUP(O45,PPTO!$J$8:$J$269,PPTO!F$8:F$269))</f>
        <v xml:space="preserve"> </v>
      </c>
      <c r="F45" s="90" t="str">
        <f>IF(LOOKUP(O45,PPTO!$J$8:$J$269,PPTO!H$8:H$269)=0," ",LOOKUP(O45,PPTO!$J$8:$J$269,PPTO!H$8:H$269))</f>
        <v xml:space="preserve"> </v>
      </c>
      <c r="G45" s="476" t="e">
        <f t="shared" si="1"/>
        <v>#VALUE!</v>
      </c>
      <c r="H45" s="102" t="e">
        <f>'ACTA MODIFICACIÓN No.1'!K45+'ACTA MODIFICACIÓN No.2'!K45</f>
        <v>#VALUE!</v>
      </c>
      <c r="I45" s="102" t="e">
        <f t="shared" si="3"/>
        <v>#VALUE!</v>
      </c>
      <c r="J45" s="477" t="e">
        <f t="shared" si="2"/>
        <v>#VALUE!</v>
      </c>
      <c r="K45" s="102" t="e">
        <f t="shared" si="4"/>
        <v>#VALUE!</v>
      </c>
      <c r="L45" s="102" t="e">
        <f t="shared" si="5"/>
        <v>#VALUE!</v>
      </c>
      <c r="M45" s="175">
        <v>912.33</v>
      </c>
      <c r="N45" s="102" t="e">
        <f t="shared" si="6"/>
        <v>#VALUE!</v>
      </c>
      <c r="O45" s="108">
        <f t="shared" si="0"/>
        <v>28</v>
      </c>
    </row>
    <row r="46" spans="1:15">
      <c r="A46" s="87" t="str">
        <f>IF(LOOKUP(O46,PPTO!$J$8:$J$269,PPTO!A$8:A$269)=0," ",LOOKUP(O46,PPTO!$J$8:$J$269,PPTO!A$8:A$269))</f>
        <v>4.06</v>
      </c>
      <c r="B46" s="91" t="str">
        <f>IF(LOOKUP(O46,PPTO!$J$8:J$269,PPTO!B$8:B$269)=0," ",LOOKUP(O46,PPTO!$J$8:J$269,PPTO!B$8:B$269))</f>
        <v xml:space="preserve"> </v>
      </c>
      <c r="C46" s="89" t="str">
        <f>IF(LOOKUP(O46,PPTO!$J$8:$J$269,PPTO!D$8:D$269)=0," ",LOOKUP(O46,PPTO!$J$8:$J$269,PPTO!D$8:D$269))</f>
        <v>UND</v>
      </c>
      <c r="D46" s="90" t="str">
        <f>IF(LOOKUP(O46,PPTO!$J$8:$J$269,PPTO!E$8:E$269)=0," ",LOOKUP(O46,PPTO!$J$8:$J$269,PPTO!E$8:E$269))</f>
        <v xml:space="preserve"> </v>
      </c>
      <c r="E46" s="90" t="str">
        <f>IF(LOOKUP(O46,PPTO!$J$8:$J$269,PPTO!F$8:F$269)=0," ",LOOKUP(O46,PPTO!$J$8:$J$269,PPTO!F$8:F$269))</f>
        <v xml:space="preserve"> </v>
      </c>
      <c r="F46" s="90" t="str">
        <f>IF(LOOKUP(O46,PPTO!$J$8:$J$269,PPTO!H$8:H$269)=0," ",LOOKUP(O46,PPTO!$J$8:$J$269,PPTO!H$8:H$269))</f>
        <v xml:space="preserve"> </v>
      </c>
      <c r="G46" s="476" t="e">
        <f t="shared" si="1"/>
        <v>#VALUE!</v>
      </c>
      <c r="H46" s="102" t="e">
        <f>'ACTA MODIFICACIÓN No.1'!K46+'ACTA MODIFICACIÓN No.2'!K46</f>
        <v>#VALUE!</v>
      </c>
      <c r="I46" s="102" t="e">
        <f t="shared" si="3"/>
        <v>#VALUE!</v>
      </c>
      <c r="J46" s="477" t="e">
        <f t="shared" si="2"/>
        <v>#VALUE!</v>
      </c>
      <c r="K46" s="102" t="e">
        <f t="shared" si="4"/>
        <v>#VALUE!</v>
      </c>
      <c r="L46" s="102" t="e">
        <f t="shared" si="5"/>
        <v>#VALUE!</v>
      </c>
      <c r="M46" s="175">
        <v>1259</v>
      </c>
      <c r="N46" s="102" t="e">
        <f t="shared" si="6"/>
        <v>#VALUE!</v>
      </c>
      <c r="O46" s="108">
        <f t="shared" si="0"/>
        <v>29</v>
      </c>
    </row>
    <row r="47" spans="1:15">
      <c r="A47" s="87" t="str">
        <f>IF(LOOKUP(O47,PPTO!$J$8:$J$269,PPTO!A$8:A$269)=0," ",LOOKUP(O47,PPTO!$J$8:$J$269,PPTO!A$8:A$269))</f>
        <v>4.09</v>
      </c>
      <c r="B47" s="91" t="str">
        <f>IF(LOOKUP(O47,PPTO!$J$8:J$269,PPTO!B$8:B$269)=0," ",LOOKUP(O47,PPTO!$J$8:J$269,PPTO!B$8:B$269))</f>
        <v xml:space="preserve"> </v>
      </c>
      <c r="C47" s="89" t="str">
        <f>IF(LOOKUP(O47,PPTO!$J$8:$J$269,PPTO!D$8:D$269)=0," ",LOOKUP(O47,PPTO!$J$8:$J$269,PPTO!D$8:D$269))</f>
        <v>M3</v>
      </c>
      <c r="D47" s="90" t="str">
        <f>IF(LOOKUP(O47,PPTO!$J$8:$J$269,PPTO!E$8:E$269)=0," ",LOOKUP(O47,PPTO!$J$8:$J$269,PPTO!E$8:E$269))</f>
        <v xml:space="preserve"> </v>
      </c>
      <c r="E47" s="90" t="str">
        <f>IF(LOOKUP(O47,PPTO!$J$8:$J$269,PPTO!F$8:F$269)=0," ",LOOKUP(O47,PPTO!$J$8:$J$269,PPTO!F$8:F$269))</f>
        <v xml:space="preserve"> </v>
      </c>
      <c r="F47" s="90" t="str">
        <f>IF(LOOKUP(O47,PPTO!$J$8:$J$269,PPTO!H$8:H$269)=0," ",LOOKUP(O47,PPTO!$J$8:$J$269,PPTO!H$8:H$269))</f>
        <v xml:space="preserve"> </v>
      </c>
      <c r="G47" s="476" t="e">
        <f t="shared" si="1"/>
        <v>#VALUE!</v>
      </c>
      <c r="H47" s="102" t="e">
        <f>'ACTA MODIFICACIÓN No.1'!K47+'ACTA MODIFICACIÓN No.2'!K47</f>
        <v>#VALUE!</v>
      </c>
      <c r="I47" s="102" t="e">
        <f t="shared" si="3"/>
        <v>#VALUE!</v>
      </c>
      <c r="J47" s="477" t="e">
        <f t="shared" si="2"/>
        <v>#VALUE!</v>
      </c>
      <c r="K47" s="102" t="e">
        <f t="shared" si="4"/>
        <v>#VALUE!</v>
      </c>
      <c r="L47" s="102" t="e">
        <f t="shared" si="5"/>
        <v>#VALUE!</v>
      </c>
      <c r="M47" s="175">
        <v>453.24</v>
      </c>
      <c r="N47" s="102" t="e">
        <f t="shared" si="6"/>
        <v>#VALUE!</v>
      </c>
      <c r="O47" s="108">
        <f t="shared" si="0"/>
        <v>30</v>
      </c>
    </row>
    <row r="48" spans="1:15">
      <c r="A48" s="87" t="str">
        <f>IF(LOOKUP(O48,PPTO!$J$8:$J$269,PPTO!A$8:A$269)=0," ",LOOKUP(O48,PPTO!$J$8:$J$269,PPTO!A$8:A$269))</f>
        <v>4.10</v>
      </c>
      <c r="B48" s="91" t="str">
        <f>IF(LOOKUP(O48,PPTO!$J$8:J$269,PPTO!B$8:B$269)=0," ",LOOKUP(O48,PPTO!$J$8:J$269,PPTO!B$8:B$269))</f>
        <v xml:space="preserve"> </v>
      </c>
      <c r="C48" s="89" t="str">
        <f>IF(LOOKUP(O48,PPTO!$J$8:$J$269,PPTO!D$8:D$269)=0," ",LOOKUP(O48,PPTO!$J$8:$J$269,PPTO!D$8:D$269))</f>
        <v>M3</v>
      </c>
      <c r="D48" s="90" t="str">
        <f>IF(LOOKUP(O48,PPTO!$J$8:$J$269,PPTO!E$8:E$269)=0," ",LOOKUP(O48,PPTO!$J$8:$J$269,PPTO!E$8:E$269))</f>
        <v xml:space="preserve"> </v>
      </c>
      <c r="E48" s="90" t="str">
        <f>IF(LOOKUP(O48,PPTO!$J$8:$J$269,PPTO!F$8:F$269)=0," ",LOOKUP(O48,PPTO!$J$8:$J$269,PPTO!F$8:F$269))</f>
        <v xml:space="preserve"> </v>
      </c>
      <c r="F48" s="90" t="str">
        <f>IF(LOOKUP(O48,PPTO!$J$8:$J$269,PPTO!H$8:H$269)=0," ",LOOKUP(O48,PPTO!$J$8:$J$269,PPTO!H$8:H$269))</f>
        <v xml:space="preserve"> </v>
      </c>
      <c r="G48" s="476" t="e">
        <f t="shared" si="1"/>
        <v>#VALUE!</v>
      </c>
      <c r="H48" s="102" t="e">
        <f>'ACTA MODIFICACIÓN No.1'!K48+'ACTA MODIFICACIÓN No.2'!K48</f>
        <v>#VALUE!</v>
      </c>
      <c r="I48" s="102" t="e">
        <f t="shared" si="3"/>
        <v>#VALUE!</v>
      </c>
      <c r="J48" s="477" t="e">
        <f t="shared" si="2"/>
        <v>#VALUE!</v>
      </c>
      <c r="K48" s="102" t="e">
        <f t="shared" si="4"/>
        <v>#VALUE!</v>
      </c>
      <c r="L48" s="102" t="e">
        <f t="shared" si="5"/>
        <v>#VALUE!</v>
      </c>
      <c r="M48" s="175">
        <v>2381.3200000000002</v>
      </c>
      <c r="N48" s="102" t="e">
        <f t="shared" si="6"/>
        <v>#VALUE!</v>
      </c>
      <c r="O48" s="108">
        <f t="shared" si="0"/>
        <v>31</v>
      </c>
    </row>
    <row r="49" spans="1:15">
      <c r="A49" s="87">
        <f>IF(LOOKUP(O49,PPTO!$J$8:$J$269,PPTO!A$8:A$269)=0," ",LOOKUP(O49,PPTO!$J$8:$J$269,PPTO!A$8:A$269))</f>
        <v>5</v>
      </c>
      <c r="B49" s="91" t="str">
        <f>IF(LOOKUP(O49,PPTO!$J$8:J$269,PPTO!B$8:B$269)=0," ",LOOKUP(O49,PPTO!$J$8:J$269,PPTO!B$8:B$269))</f>
        <v>ESTRUCTURAS SANITARIAS EN CONCRETO</v>
      </c>
      <c r="C49" s="89" t="str">
        <f>IF(LOOKUP(O49,PPTO!$J$8:$J$269,PPTO!D$8:D$269)=0," ",LOOKUP(O49,PPTO!$J$8:$J$269,PPTO!D$8:D$269))</f>
        <v xml:space="preserve"> </v>
      </c>
      <c r="D49" s="90" t="str">
        <f>IF(LOOKUP(O49,PPTO!$J$8:$J$269,PPTO!E$8:E$269)=0," ",LOOKUP(O49,PPTO!$J$8:$J$269,PPTO!E$8:E$269))</f>
        <v xml:space="preserve"> </v>
      </c>
      <c r="E49" s="90" t="str">
        <f>IF(LOOKUP(O49,PPTO!$J$8:$J$269,PPTO!F$8:F$269)=0," ",LOOKUP(O49,PPTO!$J$8:$J$269,PPTO!F$8:F$269))</f>
        <v xml:space="preserve"> </v>
      </c>
      <c r="F49" s="90" t="str">
        <f>IF(LOOKUP(O49,PPTO!$J$8:$J$269,PPTO!H$8:H$269)=0," ",LOOKUP(O49,PPTO!$J$8:$J$269,PPTO!H$8:H$269))</f>
        <v xml:space="preserve"> </v>
      </c>
      <c r="G49" s="476" t="str">
        <f t="shared" si="1"/>
        <v>+</v>
      </c>
      <c r="H49" s="102"/>
      <c r="I49" s="102"/>
      <c r="J49" s="477" t="str">
        <f t="shared" si="2"/>
        <v>+</v>
      </c>
      <c r="K49" s="102"/>
      <c r="L49" s="102"/>
      <c r="M49" s="175"/>
      <c r="N49" s="102"/>
      <c r="O49" s="108">
        <f t="shared" si="0"/>
        <v>32</v>
      </c>
    </row>
    <row r="50" spans="1:15">
      <c r="A50" s="87" t="str">
        <f>IF(LOOKUP(O50,PPTO!$J$8:$J$269,PPTO!A$8:A$269)=0," ",LOOKUP(O50,PPTO!$J$8:$J$269,PPTO!A$8:A$269))</f>
        <v>5.01</v>
      </c>
      <c r="B50" s="91" t="str">
        <f>IF(LOOKUP(O50,PPTO!$J$8:J$269,PPTO!B$8:B$269)=0," ",LOOKUP(O50,PPTO!$J$8:J$269,PPTO!B$8:B$269))</f>
        <v xml:space="preserve"> </v>
      </c>
      <c r="C50" s="89" t="str">
        <f>IF(LOOKUP(O50,PPTO!$J$8:$J$269,PPTO!D$8:D$269)=0," ",LOOKUP(O50,PPTO!$J$8:$J$269,PPTO!D$8:D$269))</f>
        <v>M3</v>
      </c>
      <c r="D50" s="90" t="str">
        <f>IF(LOOKUP(O50,PPTO!$J$8:$J$269,PPTO!E$8:E$269)=0," ",LOOKUP(O50,PPTO!$J$8:$J$269,PPTO!E$8:E$269))</f>
        <v xml:space="preserve"> </v>
      </c>
      <c r="E50" s="90" t="str">
        <f>IF(LOOKUP(O50,PPTO!$J$8:$J$269,PPTO!F$8:F$269)=0," ",LOOKUP(O50,PPTO!$J$8:$J$269,PPTO!F$8:F$269))</f>
        <v xml:space="preserve"> </v>
      </c>
      <c r="F50" s="90" t="str">
        <f>IF(LOOKUP(O50,PPTO!$J$8:$J$269,PPTO!H$8:H$269)=0," ",LOOKUP(O50,PPTO!$J$8:$J$269,PPTO!H$8:H$269))</f>
        <v xml:space="preserve"> </v>
      </c>
      <c r="G50" s="476" t="e">
        <f t="shared" si="1"/>
        <v>#VALUE!</v>
      </c>
      <c r="H50" s="102" t="e">
        <f>'ACTA MODIFICACIÓN No.1'!K50+'ACTA MODIFICACIÓN No.2'!K50</f>
        <v>#VALUE!</v>
      </c>
      <c r="I50" s="102" t="e">
        <f t="shared" si="3"/>
        <v>#VALUE!</v>
      </c>
      <c r="J50" s="477" t="e">
        <f t="shared" si="2"/>
        <v>#VALUE!</v>
      </c>
      <c r="K50" s="102" t="e">
        <f t="shared" si="4"/>
        <v>#VALUE!</v>
      </c>
      <c r="L50" s="102" t="e">
        <f t="shared" si="5"/>
        <v>#VALUE!</v>
      </c>
      <c r="M50" s="175">
        <v>293.73</v>
      </c>
      <c r="N50" s="102" t="e">
        <f t="shared" si="6"/>
        <v>#VALUE!</v>
      </c>
      <c r="O50" s="108">
        <f t="shared" si="0"/>
        <v>33</v>
      </c>
    </row>
    <row r="51" spans="1:15">
      <c r="A51" s="87" t="str">
        <f>IF(LOOKUP(O51,PPTO!$J$8:$J$269,PPTO!A$8:A$269)=0," ",LOOKUP(O51,PPTO!$J$8:$J$269,PPTO!A$8:A$269))</f>
        <v>5.02</v>
      </c>
      <c r="B51" s="91" t="str">
        <f>IF(LOOKUP(O51,PPTO!$J$8:J$269,PPTO!B$8:B$269)=0," ",LOOKUP(O51,PPTO!$J$8:J$269,PPTO!B$8:B$269))</f>
        <v xml:space="preserve"> </v>
      </c>
      <c r="C51" s="89" t="str">
        <f>IF(LOOKUP(O51,PPTO!$J$8:$J$269,PPTO!D$8:D$269)=0," ",LOOKUP(O51,PPTO!$J$8:$J$269,PPTO!D$8:D$269))</f>
        <v>UND</v>
      </c>
      <c r="D51" s="90" t="str">
        <f>IF(LOOKUP(O51,PPTO!$J$8:$J$269,PPTO!E$8:E$269)=0," ",LOOKUP(O51,PPTO!$J$8:$J$269,PPTO!E$8:E$269))</f>
        <v xml:space="preserve"> </v>
      </c>
      <c r="E51" s="90" t="str">
        <f>IF(LOOKUP(O51,PPTO!$J$8:$J$269,PPTO!F$8:F$269)=0," ",LOOKUP(O51,PPTO!$J$8:$J$269,PPTO!F$8:F$269))</f>
        <v xml:space="preserve"> </v>
      </c>
      <c r="F51" s="90" t="str">
        <f>IF(LOOKUP(O51,PPTO!$J$8:$J$269,PPTO!H$8:H$269)=0," ",LOOKUP(O51,PPTO!$J$8:$J$269,PPTO!H$8:H$269))</f>
        <v xml:space="preserve"> </v>
      </c>
      <c r="G51" s="476" t="e">
        <f t="shared" si="1"/>
        <v>#VALUE!</v>
      </c>
      <c r="H51" s="102" t="e">
        <f>'ACTA MODIFICACIÓN No.1'!K51+'ACTA MODIFICACIÓN No.2'!K51</f>
        <v>#VALUE!</v>
      </c>
      <c r="I51" s="102" t="e">
        <f t="shared" si="3"/>
        <v>#VALUE!</v>
      </c>
      <c r="J51" s="477" t="e">
        <f t="shared" si="2"/>
        <v>#VALUE!</v>
      </c>
      <c r="K51" s="102" t="e">
        <f t="shared" si="4"/>
        <v>#VALUE!</v>
      </c>
      <c r="L51" s="102" t="e">
        <f t="shared" si="5"/>
        <v>#VALUE!</v>
      </c>
      <c r="M51" s="175">
        <v>912.33</v>
      </c>
      <c r="N51" s="102" t="e">
        <f t="shared" si="6"/>
        <v>#VALUE!</v>
      </c>
      <c r="O51" s="108">
        <f t="shared" si="0"/>
        <v>34</v>
      </c>
    </row>
    <row r="52" spans="1:15">
      <c r="A52" s="87" t="str">
        <f>IF(LOOKUP(O52,PPTO!$J$8:$J$269,PPTO!A$8:A$269)=0," ",LOOKUP(O52,PPTO!$J$8:$J$269,PPTO!A$8:A$269))</f>
        <v>5.03</v>
      </c>
      <c r="B52" s="91" t="str">
        <f>IF(LOOKUP(O52,PPTO!$J$8:J$269,PPTO!B$8:B$269)=0," ",LOOKUP(O52,PPTO!$J$8:J$269,PPTO!B$8:B$269))</f>
        <v xml:space="preserve"> </v>
      </c>
      <c r="C52" s="89" t="str">
        <f>IF(LOOKUP(O52,PPTO!$J$8:$J$269,PPTO!D$8:D$269)=0," ",LOOKUP(O52,PPTO!$J$8:$J$269,PPTO!D$8:D$269))</f>
        <v>UND</v>
      </c>
      <c r="D52" s="90" t="str">
        <f>IF(LOOKUP(O52,PPTO!$J$8:$J$269,PPTO!E$8:E$269)=0," ",LOOKUP(O52,PPTO!$J$8:$J$269,PPTO!E$8:E$269))</f>
        <v xml:space="preserve"> </v>
      </c>
      <c r="E52" s="90" t="str">
        <f>IF(LOOKUP(O52,PPTO!$J$8:$J$269,PPTO!F$8:F$269)=0," ",LOOKUP(O52,PPTO!$J$8:$J$269,PPTO!F$8:F$269))</f>
        <v xml:space="preserve"> </v>
      </c>
      <c r="F52" s="90" t="str">
        <f>IF(LOOKUP(O52,PPTO!$J$8:$J$269,PPTO!H$8:H$269)=0," ",LOOKUP(O52,PPTO!$J$8:$J$269,PPTO!H$8:H$269))</f>
        <v xml:space="preserve"> </v>
      </c>
      <c r="G52" s="476" t="e">
        <f t="shared" si="1"/>
        <v>#VALUE!</v>
      </c>
      <c r="H52" s="102" t="e">
        <f>'ACTA MODIFICACIÓN No.1'!K52+'ACTA MODIFICACIÓN No.2'!K52</f>
        <v>#VALUE!</v>
      </c>
      <c r="I52" s="102" t="e">
        <f t="shared" si="3"/>
        <v>#VALUE!</v>
      </c>
      <c r="J52" s="477" t="e">
        <f t="shared" si="2"/>
        <v>#VALUE!</v>
      </c>
      <c r="K52" s="102" t="e">
        <f t="shared" si="4"/>
        <v>#VALUE!</v>
      </c>
      <c r="L52" s="102" t="e">
        <f t="shared" si="5"/>
        <v>#VALUE!</v>
      </c>
      <c r="M52" s="175">
        <v>1259</v>
      </c>
      <c r="N52" s="102" t="e">
        <f t="shared" si="6"/>
        <v>#VALUE!</v>
      </c>
      <c r="O52" s="108">
        <f t="shared" si="0"/>
        <v>35</v>
      </c>
    </row>
    <row r="53" spans="1:15">
      <c r="A53" s="87" t="str">
        <f>IF(LOOKUP(O53,PPTO!$J$8:$J$269,PPTO!A$8:A$269)=0," ",LOOKUP(O53,PPTO!$J$8:$J$269,PPTO!A$8:A$269))</f>
        <v>5.04</v>
      </c>
      <c r="B53" s="91" t="str">
        <f>IF(LOOKUP(O53,PPTO!$J$8:J$269,PPTO!B$8:B$269)=0," ",LOOKUP(O53,PPTO!$J$8:J$269,PPTO!B$8:B$269))</f>
        <v xml:space="preserve"> </v>
      </c>
      <c r="C53" s="89" t="str">
        <f>IF(LOOKUP(O53,PPTO!$J$8:$J$269,PPTO!D$8:D$269)=0," ",LOOKUP(O53,PPTO!$J$8:$J$269,PPTO!D$8:D$269))</f>
        <v>UND</v>
      </c>
      <c r="D53" s="90" t="str">
        <f>IF(LOOKUP(O53,PPTO!$J$8:$J$269,PPTO!E$8:E$269)=0," ",LOOKUP(O53,PPTO!$J$8:$J$269,PPTO!E$8:E$269))</f>
        <v xml:space="preserve"> </v>
      </c>
      <c r="E53" s="90" t="str">
        <f>IF(LOOKUP(O53,PPTO!$J$8:$J$269,PPTO!F$8:F$269)=0," ",LOOKUP(O53,PPTO!$J$8:$J$269,PPTO!F$8:F$269))</f>
        <v xml:space="preserve"> </v>
      </c>
      <c r="F53" s="90" t="str">
        <f>IF(LOOKUP(O53,PPTO!$J$8:$J$269,PPTO!H$8:H$269)=0," ",LOOKUP(O53,PPTO!$J$8:$J$269,PPTO!H$8:H$269))</f>
        <v xml:space="preserve"> </v>
      </c>
      <c r="G53" s="476" t="e">
        <f t="shared" si="1"/>
        <v>#VALUE!</v>
      </c>
      <c r="H53" s="102" t="e">
        <f>'ACTA MODIFICACIÓN No.1'!K53+'ACTA MODIFICACIÓN No.2'!K53</f>
        <v>#VALUE!</v>
      </c>
      <c r="I53" s="102" t="e">
        <f t="shared" si="3"/>
        <v>#VALUE!</v>
      </c>
      <c r="J53" s="477" t="e">
        <f t="shared" si="2"/>
        <v>#VALUE!</v>
      </c>
      <c r="K53" s="102" t="e">
        <f t="shared" si="4"/>
        <v>#VALUE!</v>
      </c>
      <c r="L53" s="102" t="e">
        <f t="shared" si="5"/>
        <v>#VALUE!</v>
      </c>
      <c r="M53" s="175">
        <v>140</v>
      </c>
      <c r="N53" s="102" t="e">
        <f t="shared" si="6"/>
        <v>#VALUE!</v>
      </c>
      <c r="O53" s="108">
        <f t="shared" si="0"/>
        <v>36</v>
      </c>
    </row>
    <row r="54" spans="1:15">
      <c r="A54" s="87" t="str">
        <f>IF(LOOKUP(O54,PPTO!$J$8:$J$269,PPTO!A$8:A$269)=0," ",LOOKUP(O54,PPTO!$J$8:$J$269,PPTO!A$8:A$269))</f>
        <v>5.05</v>
      </c>
      <c r="B54" s="91" t="str">
        <f>IF(LOOKUP(O54,PPTO!$J$8:J$269,PPTO!B$8:B$269)=0," ",LOOKUP(O54,PPTO!$J$8:J$269,PPTO!B$8:B$269))</f>
        <v xml:space="preserve"> </v>
      </c>
      <c r="C54" s="89" t="str">
        <f>IF(LOOKUP(O54,PPTO!$J$8:$J$269,PPTO!D$8:D$269)=0," ",LOOKUP(O54,PPTO!$J$8:$J$269,PPTO!D$8:D$269))</f>
        <v>UND</v>
      </c>
      <c r="D54" s="90" t="str">
        <f>IF(LOOKUP(O54,PPTO!$J$8:$J$269,PPTO!E$8:E$269)=0," ",LOOKUP(O54,PPTO!$J$8:$J$269,PPTO!E$8:E$269))</f>
        <v xml:space="preserve"> </v>
      </c>
      <c r="E54" s="90" t="str">
        <f>IF(LOOKUP(O54,PPTO!$J$8:$J$269,PPTO!F$8:F$269)=0," ",LOOKUP(O54,PPTO!$J$8:$J$269,PPTO!F$8:F$269))</f>
        <v xml:space="preserve"> </v>
      </c>
      <c r="F54" s="90" t="str">
        <f>IF(LOOKUP(O54,PPTO!$J$8:$J$269,PPTO!H$8:H$269)=0," ",LOOKUP(O54,PPTO!$J$8:$J$269,PPTO!H$8:H$269))</f>
        <v xml:space="preserve"> </v>
      </c>
      <c r="G54" s="476" t="e">
        <f t="shared" si="1"/>
        <v>#VALUE!</v>
      </c>
      <c r="H54" s="102" t="e">
        <f>'ACTA MODIFICACIÓN No.1'!K54+'ACTA MODIFICACIÓN No.2'!K54</f>
        <v>#VALUE!</v>
      </c>
      <c r="I54" s="102" t="e">
        <f t="shared" si="3"/>
        <v>#VALUE!</v>
      </c>
      <c r="J54" s="477" t="e">
        <f t="shared" si="2"/>
        <v>#VALUE!</v>
      </c>
      <c r="K54" s="102" t="e">
        <f t="shared" si="4"/>
        <v>#VALUE!</v>
      </c>
      <c r="L54" s="102" t="e">
        <f t="shared" si="5"/>
        <v>#VALUE!</v>
      </c>
      <c r="M54" s="175">
        <v>84</v>
      </c>
      <c r="N54" s="102" t="e">
        <f t="shared" si="6"/>
        <v>#VALUE!</v>
      </c>
      <c r="O54" s="108">
        <f t="shared" si="0"/>
        <v>37</v>
      </c>
    </row>
    <row r="55" spans="1:15">
      <c r="A55" s="87" t="str">
        <f>IF(LOOKUP(O55,PPTO!$J$8:$J$269,PPTO!A$8:A$269)=0," ",LOOKUP(O55,PPTO!$J$8:$J$269,PPTO!A$8:A$269))</f>
        <v>5.06</v>
      </c>
      <c r="B55" s="91" t="str">
        <f>IF(LOOKUP(O55,PPTO!$J$8:J$269,PPTO!B$8:B$269)=0," ",LOOKUP(O55,PPTO!$J$8:J$269,PPTO!B$8:B$269))</f>
        <v xml:space="preserve"> </v>
      </c>
      <c r="C55" s="89" t="str">
        <f>IF(LOOKUP(O55,PPTO!$J$8:$J$269,PPTO!D$8:D$269)=0," ",LOOKUP(O55,PPTO!$J$8:$J$269,PPTO!D$8:D$269))</f>
        <v>UND</v>
      </c>
      <c r="D55" s="90" t="str">
        <f>IF(LOOKUP(O55,PPTO!$J$8:$J$269,PPTO!E$8:E$269)=0," ",LOOKUP(O55,PPTO!$J$8:$J$269,PPTO!E$8:E$269))</f>
        <v xml:space="preserve"> </v>
      </c>
      <c r="E55" s="90" t="str">
        <f>IF(LOOKUP(O55,PPTO!$J$8:$J$269,PPTO!F$8:F$269)=0," ",LOOKUP(O55,PPTO!$J$8:$J$269,PPTO!F$8:F$269))</f>
        <v xml:space="preserve"> </v>
      </c>
      <c r="F55" s="90" t="str">
        <f>IF(LOOKUP(O55,PPTO!$J$8:$J$269,PPTO!H$8:H$269)=0," ",LOOKUP(O55,PPTO!$J$8:$J$269,PPTO!H$8:H$269))</f>
        <v xml:space="preserve"> </v>
      </c>
      <c r="G55" s="476" t="e">
        <f t="shared" si="1"/>
        <v>#VALUE!</v>
      </c>
      <c r="H55" s="102" t="e">
        <f>'ACTA MODIFICACIÓN No.1'!K55+'ACTA MODIFICACIÓN No.2'!K55</f>
        <v>#VALUE!</v>
      </c>
      <c r="I55" s="102" t="e">
        <f t="shared" si="3"/>
        <v>#VALUE!</v>
      </c>
      <c r="J55" s="477" t="e">
        <f t="shared" si="2"/>
        <v>#VALUE!</v>
      </c>
      <c r="K55" s="102" t="e">
        <f t="shared" si="4"/>
        <v>#VALUE!</v>
      </c>
      <c r="L55" s="102" t="e">
        <f t="shared" si="5"/>
        <v>#VALUE!</v>
      </c>
      <c r="M55" s="175">
        <v>19</v>
      </c>
      <c r="N55" s="102" t="e">
        <f t="shared" si="6"/>
        <v>#VALUE!</v>
      </c>
      <c r="O55" s="108">
        <f t="shared" si="0"/>
        <v>38</v>
      </c>
    </row>
    <row r="56" spans="1:15">
      <c r="A56" s="87">
        <f>IF(LOOKUP(O56,PPTO!$J$8:$J$269,PPTO!A$8:A$269)=0," ",LOOKUP(O56,PPTO!$J$8:$J$269,PPTO!A$8:A$269))</f>
        <v>6</v>
      </c>
      <c r="B56" s="91" t="str">
        <f>IF(LOOKUP(O56,PPTO!$J$8:J$269,PPTO!B$8:B$269)=0," ",LOOKUP(O56,PPTO!$J$8:J$269,PPTO!B$8:B$269))</f>
        <v>CONSTRUCCION DE PAVIMENTOS</v>
      </c>
      <c r="C56" s="89" t="str">
        <f>IF(LOOKUP(O56,PPTO!$J$8:$J$269,PPTO!D$8:D$269)=0," ",LOOKUP(O56,PPTO!$J$8:$J$269,PPTO!D$8:D$269))</f>
        <v xml:space="preserve"> </v>
      </c>
      <c r="D56" s="90" t="str">
        <f>IF(LOOKUP(O56,PPTO!$J$8:$J$269,PPTO!E$8:E$269)=0," ",LOOKUP(O56,PPTO!$J$8:$J$269,PPTO!E$8:E$269))</f>
        <v xml:space="preserve"> </v>
      </c>
      <c r="E56" s="90" t="str">
        <f>IF(LOOKUP(O56,PPTO!$J$8:$J$269,PPTO!F$8:F$269)=0," ",LOOKUP(O56,PPTO!$J$8:$J$269,PPTO!F$8:F$269))</f>
        <v xml:space="preserve"> </v>
      </c>
      <c r="F56" s="90" t="str">
        <f>IF(LOOKUP(O56,PPTO!$J$8:$J$269,PPTO!H$8:H$269)=0," ",LOOKUP(O56,PPTO!$J$8:$J$269,PPTO!H$8:H$269))</f>
        <v xml:space="preserve"> </v>
      </c>
      <c r="G56" s="476" t="str">
        <f t="shared" si="1"/>
        <v>+</v>
      </c>
      <c r="H56" s="102"/>
      <c r="I56" s="102"/>
      <c r="J56" s="477" t="str">
        <f t="shared" si="2"/>
        <v>+</v>
      </c>
      <c r="K56" s="102"/>
      <c r="L56" s="102"/>
      <c r="M56" s="175"/>
      <c r="N56" s="102"/>
      <c r="O56" s="108">
        <f t="shared" si="0"/>
        <v>39</v>
      </c>
    </row>
    <row r="57" spans="1:15">
      <c r="A57" s="87" t="str">
        <f>IF(LOOKUP(O57,PPTO!$J$8:$J$269,PPTO!A$8:A$269)=0," ",LOOKUP(O57,PPTO!$J$8:$J$269,PPTO!A$8:A$269))</f>
        <v>6.01</v>
      </c>
      <c r="B57" s="91" t="str">
        <f>IF(LOOKUP(O57,PPTO!$J$8:J$269,PPTO!B$8:B$269)=0," ",LOOKUP(O57,PPTO!$J$8:J$269,PPTO!B$8:B$269))</f>
        <v xml:space="preserve"> </v>
      </c>
      <c r="C57" s="89" t="str">
        <f>IF(LOOKUP(O57,PPTO!$J$8:$J$269,PPTO!D$8:D$269)=0," ",LOOKUP(O57,PPTO!$J$8:$J$269,PPTO!D$8:D$269))</f>
        <v>M2</v>
      </c>
      <c r="D57" s="90" t="str">
        <f>IF(LOOKUP(O57,PPTO!$J$8:$J$269,PPTO!E$8:E$269)=0," ",LOOKUP(O57,PPTO!$J$8:$J$269,PPTO!E$8:E$269))</f>
        <v xml:space="preserve"> </v>
      </c>
      <c r="E57" s="90" t="str">
        <f>IF(LOOKUP(O57,PPTO!$J$8:$J$269,PPTO!F$8:F$269)=0," ",LOOKUP(O57,PPTO!$J$8:$J$269,PPTO!F$8:F$269))</f>
        <v xml:space="preserve"> </v>
      </c>
      <c r="F57" s="90" t="str">
        <f>IF(LOOKUP(O57,PPTO!$J$8:$J$269,PPTO!H$8:H$269)=0," ",LOOKUP(O57,PPTO!$J$8:$J$269,PPTO!H$8:H$269))</f>
        <v xml:space="preserve"> </v>
      </c>
      <c r="G57" s="476" t="e">
        <f t="shared" si="1"/>
        <v>#VALUE!</v>
      </c>
      <c r="H57" s="102" t="e">
        <f>'ACTA MODIFICACIÓN No.1'!K57+'ACTA MODIFICACIÓN No.2'!K57</f>
        <v>#VALUE!</v>
      </c>
      <c r="I57" s="102" t="e">
        <f t="shared" si="3"/>
        <v>#VALUE!</v>
      </c>
      <c r="J57" s="477" t="e">
        <f t="shared" si="2"/>
        <v>#VALUE!</v>
      </c>
      <c r="K57" s="102" t="e">
        <f t="shared" si="4"/>
        <v>#VALUE!</v>
      </c>
      <c r="L57" s="102" t="e">
        <f t="shared" si="5"/>
        <v>#VALUE!</v>
      </c>
      <c r="M57" s="175">
        <v>4134</v>
      </c>
      <c r="N57" s="102" t="e">
        <f t="shared" si="6"/>
        <v>#VALUE!</v>
      </c>
      <c r="O57" s="108">
        <f t="shared" si="0"/>
        <v>40</v>
      </c>
    </row>
    <row r="58" spans="1:15">
      <c r="A58" s="87" t="str">
        <f>IF(LOOKUP(O58,PPTO!$J$8:$J$269,PPTO!A$8:A$269)=0," ",LOOKUP(O58,PPTO!$J$8:$J$269,PPTO!A$8:A$269))</f>
        <v>6.02</v>
      </c>
      <c r="B58" s="91" t="str">
        <f>IF(LOOKUP(O58,PPTO!$J$8:J$269,PPTO!B$8:B$269)=0," ",LOOKUP(O58,PPTO!$J$8:J$269,PPTO!B$8:B$269))</f>
        <v xml:space="preserve"> </v>
      </c>
      <c r="C58" s="89" t="str">
        <f>IF(LOOKUP(O58,PPTO!$J$8:$J$269,PPTO!D$8:D$269)=0," ",LOOKUP(O58,PPTO!$J$8:$J$269,PPTO!D$8:D$269))</f>
        <v>M3</v>
      </c>
      <c r="D58" s="90" t="str">
        <f>IF(LOOKUP(O58,PPTO!$J$8:$J$269,PPTO!E$8:E$269)=0," ",LOOKUP(O58,PPTO!$J$8:$J$269,PPTO!E$8:E$269))</f>
        <v xml:space="preserve"> </v>
      </c>
      <c r="E58" s="90" t="str">
        <f>IF(LOOKUP(O58,PPTO!$J$8:$J$269,PPTO!F$8:F$269)=0," ",LOOKUP(O58,PPTO!$J$8:$J$269,PPTO!F$8:F$269))</f>
        <v xml:space="preserve"> </v>
      </c>
      <c r="F58" s="90" t="str">
        <f>IF(LOOKUP(O58,PPTO!$J$8:$J$269,PPTO!H$8:H$269)=0," ",LOOKUP(O58,PPTO!$J$8:$J$269,PPTO!H$8:H$269))</f>
        <v xml:space="preserve"> </v>
      </c>
      <c r="G58" s="476" t="e">
        <f t="shared" si="1"/>
        <v>#VALUE!</v>
      </c>
      <c r="H58" s="102" t="e">
        <f>'ACTA MODIFICACIÓN No.1'!K58+'ACTA MODIFICACIÓN No.2'!K58</f>
        <v>#VALUE!</v>
      </c>
      <c r="I58" s="102" t="e">
        <f t="shared" si="3"/>
        <v>#VALUE!</v>
      </c>
      <c r="J58" s="477" t="e">
        <f t="shared" si="2"/>
        <v>#VALUE!</v>
      </c>
      <c r="K58" s="102" t="e">
        <f t="shared" si="4"/>
        <v>#VALUE!</v>
      </c>
      <c r="L58" s="102" t="e">
        <f t="shared" si="5"/>
        <v>#VALUE!</v>
      </c>
      <c r="M58" s="175">
        <v>1243</v>
      </c>
      <c r="N58" s="102" t="e">
        <f t="shared" si="6"/>
        <v>#VALUE!</v>
      </c>
      <c r="O58" s="108">
        <f t="shared" si="0"/>
        <v>41</v>
      </c>
    </row>
    <row r="59" spans="1:15">
      <c r="A59" s="87" t="str">
        <f>IF(LOOKUP(O59,PPTO!$J$8:$J$269,PPTO!A$8:A$269)=0," ",LOOKUP(O59,PPTO!$J$8:$J$269,PPTO!A$8:A$269))</f>
        <v>6.04</v>
      </c>
      <c r="B59" s="91" t="str">
        <f>IF(LOOKUP(O59,PPTO!$J$8:J$269,PPTO!B$8:B$269)=0," ",LOOKUP(O59,PPTO!$J$8:J$269,PPTO!B$8:B$269))</f>
        <v xml:space="preserve"> </v>
      </c>
      <c r="C59" s="89" t="str">
        <f>IF(LOOKUP(O59,PPTO!$J$8:$J$269,PPTO!D$8:D$269)=0," ",LOOKUP(O59,PPTO!$J$8:$J$269,PPTO!D$8:D$269))</f>
        <v>M2</v>
      </c>
      <c r="D59" s="90" t="str">
        <f>IF(LOOKUP(O59,PPTO!$J$8:$J$269,PPTO!E$8:E$269)=0," ",LOOKUP(O59,PPTO!$J$8:$J$269,PPTO!E$8:E$269))</f>
        <v xml:space="preserve"> </v>
      </c>
      <c r="E59" s="90" t="str">
        <f>IF(LOOKUP(O59,PPTO!$J$8:$J$269,PPTO!F$8:F$269)=0," ",LOOKUP(O59,PPTO!$J$8:$J$269,PPTO!F$8:F$269))</f>
        <v xml:space="preserve"> </v>
      </c>
      <c r="F59" s="90" t="str">
        <f>IF(LOOKUP(O59,PPTO!$J$8:$J$269,PPTO!H$8:H$269)=0," ",LOOKUP(O59,PPTO!$J$8:$J$269,PPTO!H$8:H$269))</f>
        <v xml:space="preserve"> </v>
      </c>
      <c r="G59" s="476" t="e">
        <f t="shared" si="1"/>
        <v>#VALUE!</v>
      </c>
      <c r="H59" s="102" t="e">
        <f>'ACTA MODIFICACIÓN No.1'!K59+'ACTA MODIFICACIÓN No.2'!K59</f>
        <v>#VALUE!</v>
      </c>
      <c r="I59" s="102" t="e">
        <f t="shared" si="3"/>
        <v>#VALUE!</v>
      </c>
      <c r="J59" s="477" t="e">
        <f t="shared" si="2"/>
        <v>#VALUE!</v>
      </c>
      <c r="K59" s="102" t="e">
        <f t="shared" si="4"/>
        <v>#VALUE!</v>
      </c>
      <c r="L59" s="102" t="e">
        <f t="shared" si="5"/>
        <v>#VALUE!</v>
      </c>
      <c r="M59" s="175">
        <v>1259</v>
      </c>
      <c r="N59" s="102" t="e">
        <f t="shared" si="6"/>
        <v>#VALUE!</v>
      </c>
      <c r="O59" s="108">
        <f t="shared" si="0"/>
        <v>42</v>
      </c>
    </row>
    <row r="60" spans="1:15">
      <c r="A60" s="87" t="str">
        <f>IF(LOOKUP(O60,PPTO!$J$8:$J$269,PPTO!A$8:A$269)=0," ",LOOKUP(O60,PPTO!$J$8:$J$269,PPTO!A$8:A$269))</f>
        <v>6.05</v>
      </c>
      <c r="B60" s="91" t="str">
        <f>IF(LOOKUP(O60,PPTO!$J$8:J$269,PPTO!B$8:B$269)=0," ",LOOKUP(O60,PPTO!$J$8:J$269,PPTO!B$8:B$269))</f>
        <v xml:space="preserve"> </v>
      </c>
      <c r="C60" s="89" t="str">
        <f>IF(LOOKUP(O60,PPTO!$J$8:$J$269,PPTO!D$8:D$269)=0," ",LOOKUP(O60,PPTO!$J$8:$J$269,PPTO!D$8:D$269))</f>
        <v>ML</v>
      </c>
      <c r="D60" s="90" t="str">
        <f>IF(LOOKUP(O60,PPTO!$J$8:$J$269,PPTO!E$8:E$269)=0," ",LOOKUP(O60,PPTO!$J$8:$J$269,PPTO!E$8:E$269))</f>
        <v xml:space="preserve"> </v>
      </c>
      <c r="E60" s="90" t="str">
        <f>IF(LOOKUP(O60,PPTO!$J$8:$J$269,PPTO!F$8:F$269)=0," ",LOOKUP(O60,PPTO!$J$8:$J$269,PPTO!F$8:F$269))</f>
        <v xml:space="preserve"> </v>
      </c>
      <c r="F60" s="90" t="str">
        <f>IF(LOOKUP(O60,PPTO!$J$8:$J$269,PPTO!H$8:H$269)=0," ",LOOKUP(O60,PPTO!$J$8:$J$269,PPTO!H$8:H$269))</f>
        <v xml:space="preserve"> </v>
      </c>
      <c r="G60" s="476" t="e">
        <f t="shared" si="1"/>
        <v>#VALUE!</v>
      </c>
      <c r="H60" s="102" t="e">
        <f>'ACTA MODIFICACIÓN No.1'!K60+'ACTA MODIFICACIÓN No.2'!K60</f>
        <v>#VALUE!</v>
      </c>
      <c r="I60" s="102" t="e">
        <f t="shared" si="3"/>
        <v>#VALUE!</v>
      </c>
      <c r="J60" s="477" t="e">
        <f t="shared" si="2"/>
        <v>#VALUE!</v>
      </c>
      <c r="K60" s="102" t="e">
        <f t="shared" si="4"/>
        <v>#VALUE!</v>
      </c>
      <c r="L60" s="102" t="e">
        <f t="shared" si="5"/>
        <v>#VALUE!</v>
      </c>
      <c r="M60" s="175">
        <v>1259</v>
      </c>
      <c r="N60" s="102" t="e">
        <f t="shared" si="6"/>
        <v>#VALUE!</v>
      </c>
      <c r="O60" s="108">
        <f t="shared" si="0"/>
        <v>43</v>
      </c>
    </row>
    <row r="61" spans="1:15">
      <c r="A61" s="87" t="str">
        <f>IF(LOOKUP(O61,PPTO!$J$8:$J$269,PPTO!A$8:A$269)=0," ",LOOKUP(O61,PPTO!$J$8:$J$269,PPTO!A$8:A$269))</f>
        <v>6.06</v>
      </c>
      <c r="B61" s="91" t="str">
        <f>IF(LOOKUP(O61,PPTO!$J$8:J$269,PPTO!B$8:B$269)=0," ",LOOKUP(O61,PPTO!$J$8:J$269,PPTO!B$8:B$269))</f>
        <v xml:space="preserve"> </v>
      </c>
      <c r="C61" s="89" t="str">
        <f>IF(LOOKUP(O61,PPTO!$J$8:$J$269,PPTO!D$8:D$269)=0," ",LOOKUP(O61,PPTO!$J$8:$J$269,PPTO!D$8:D$269))</f>
        <v>M2</v>
      </c>
      <c r="D61" s="90" t="str">
        <f>IF(LOOKUP(O61,PPTO!$J$8:$J$269,PPTO!E$8:E$269)=0," ",LOOKUP(O61,PPTO!$J$8:$J$269,PPTO!E$8:E$269))</f>
        <v xml:space="preserve"> </v>
      </c>
      <c r="E61" s="90" t="str">
        <f>IF(LOOKUP(O61,PPTO!$J$8:$J$269,PPTO!F$8:F$269)=0," ",LOOKUP(O61,PPTO!$J$8:$J$269,PPTO!F$8:F$269))</f>
        <v xml:space="preserve"> </v>
      </c>
      <c r="F61" s="90" t="str">
        <f>IF(LOOKUP(O61,PPTO!$J$8:$J$269,PPTO!H$8:H$269)=0," ",LOOKUP(O61,PPTO!$J$8:$J$269,PPTO!H$8:H$269))</f>
        <v xml:space="preserve"> </v>
      </c>
      <c r="G61" s="476" t="e">
        <f t="shared" si="1"/>
        <v>#VALUE!</v>
      </c>
      <c r="H61" s="102" t="e">
        <f>'ACTA MODIFICACIÓN No.1'!K61+'ACTA MODIFICACIÓN No.2'!K61</f>
        <v>#VALUE!</v>
      </c>
      <c r="I61" s="102" t="e">
        <f t="shared" si="3"/>
        <v>#VALUE!</v>
      </c>
      <c r="J61" s="477" t="e">
        <f t="shared" si="2"/>
        <v>#VALUE!</v>
      </c>
      <c r="K61" s="102" t="e">
        <f t="shared" si="4"/>
        <v>#VALUE!</v>
      </c>
      <c r="L61" s="102" t="e">
        <f t="shared" si="5"/>
        <v>#VALUE!</v>
      </c>
      <c r="M61" s="175">
        <v>140</v>
      </c>
      <c r="N61" s="102" t="e">
        <f t="shared" si="6"/>
        <v>#VALUE!</v>
      </c>
      <c r="O61" s="108">
        <f t="shared" si="0"/>
        <v>44</v>
      </c>
    </row>
    <row r="62" spans="1:15">
      <c r="A62" s="87" t="str">
        <f>IF(LOOKUP(O62,PPTO!$J$8:$J$269,PPTO!A$8:A$269)=0," ",LOOKUP(O62,PPTO!$J$8:$J$269,PPTO!A$8:A$269))</f>
        <v xml:space="preserve"> </v>
      </c>
      <c r="B62" s="91" t="str">
        <f>IF(LOOKUP(O62,PPTO!$J$8:J$269,PPTO!B$8:B$269)=0," ",LOOKUP(O62,PPTO!$J$8:J$269,PPTO!B$8:B$269))</f>
        <v xml:space="preserve"> </v>
      </c>
      <c r="C62" s="89" t="str">
        <f>IF(LOOKUP(O62,PPTO!$J$8:$J$269,PPTO!D$8:D$269)=0," ",LOOKUP(O62,PPTO!$J$8:$J$269,PPTO!D$8:D$269))</f>
        <v xml:space="preserve"> </v>
      </c>
      <c r="D62" s="90" t="str">
        <f>IF(LOOKUP(O62,PPTO!$J$8:$J$269,PPTO!E$8:E$269)=0," ",LOOKUP(O62,PPTO!$J$8:$J$269,PPTO!E$8:E$269))</f>
        <v xml:space="preserve"> </v>
      </c>
      <c r="E62" s="90" t="str">
        <f>IF(LOOKUP(O62,PPTO!$J$8:$J$269,PPTO!F$8:F$269)=0," ",LOOKUP(O62,PPTO!$J$8:$J$269,PPTO!F$8:F$269))</f>
        <v xml:space="preserve"> </v>
      </c>
      <c r="F62" s="90" t="str">
        <f>IF(LOOKUP(O62,PPTO!$J$8:$J$269,PPTO!H$8:H$269)=0," ",LOOKUP(O62,PPTO!$J$8:$J$269,PPTO!H$8:H$269))</f>
        <v xml:space="preserve"> </v>
      </c>
      <c r="G62" s="90"/>
      <c r="H62" s="102"/>
      <c r="I62" s="102"/>
      <c r="J62" s="102"/>
      <c r="K62" s="102"/>
      <c r="L62" s="102"/>
      <c r="M62" s="175"/>
      <c r="N62" s="102"/>
      <c r="O62" s="108">
        <f t="shared" si="0"/>
        <v>45</v>
      </c>
    </row>
    <row r="63" spans="1:15">
      <c r="A63" s="87"/>
      <c r="B63" s="275" t="s">
        <v>348</v>
      </c>
      <c r="C63" s="276"/>
      <c r="D63" s="277"/>
      <c r="E63" s="277"/>
      <c r="F63" s="277">
        <v>0</v>
      </c>
      <c r="G63" s="277"/>
      <c r="H63" s="278"/>
      <c r="I63" s="278">
        <v>0</v>
      </c>
      <c r="J63" s="278"/>
      <c r="K63" s="279"/>
      <c r="L63" s="279">
        <v>0</v>
      </c>
      <c r="M63" s="279"/>
      <c r="N63" s="279">
        <v>0</v>
      </c>
      <c r="O63" s="108"/>
    </row>
    <row r="64" spans="1:15" ht="12.75" thickBot="1">
      <c r="A64" s="87"/>
      <c r="B64" s="88"/>
      <c r="C64" s="89"/>
      <c r="D64" s="90"/>
      <c r="E64" s="90"/>
      <c r="F64" s="90"/>
      <c r="G64" s="90"/>
      <c r="H64" s="102"/>
      <c r="I64" s="102"/>
      <c r="J64" s="102"/>
      <c r="K64" s="102"/>
      <c r="L64" s="102"/>
      <c r="M64" s="102"/>
      <c r="N64" s="102"/>
      <c r="O64" s="108"/>
    </row>
    <row r="65" spans="1:15" ht="12.75" thickBot="1">
      <c r="A65" s="87"/>
      <c r="B65" s="280" t="s">
        <v>323</v>
      </c>
      <c r="C65" s="281"/>
      <c r="D65" s="282"/>
      <c r="E65" s="282"/>
      <c r="F65" s="361">
        <f>SUM(F20:F64)</f>
        <v>0</v>
      </c>
      <c r="G65" s="404"/>
      <c r="H65" s="284"/>
      <c r="I65" s="361" t="e">
        <f>SUM(I20:I64)</f>
        <v>#VALUE!</v>
      </c>
      <c r="J65" s="404"/>
      <c r="K65" s="284"/>
      <c r="L65" s="361" t="e">
        <f>SUM(L20:L64)</f>
        <v>#VALUE!</v>
      </c>
      <c r="M65" s="284"/>
      <c r="N65" s="361" t="e">
        <f>SUM(N20:N64)</f>
        <v>#VALUE!</v>
      </c>
      <c r="O65" s="108"/>
    </row>
    <row r="66" spans="1:15">
      <c r="A66" s="87"/>
      <c r="B66" s="285" t="s">
        <v>174</v>
      </c>
      <c r="C66" s="286" t="s">
        <v>296</v>
      </c>
      <c r="D66" s="287">
        <f>DATOS!E184</f>
        <v>18.5</v>
      </c>
      <c r="E66" s="288"/>
      <c r="F66" s="366">
        <f>ROUND(F$65*$D$66/100,0)</f>
        <v>0</v>
      </c>
      <c r="G66" s="366"/>
      <c r="H66" s="289"/>
      <c r="I66" s="366" t="e">
        <f>ROUND(I$65*$D$66/100,0)</f>
        <v>#VALUE!</v>
      </c>
      <c r="J66" s="366"/>
      <c r="K66" s="289"/>
      <c r="L66" s="366" t="e">
        <f>ROUND(L$65*$D$66/100,0)</f>
        <v>#VALUE!</v>
      </c>
      <c r="M66" s="289"/>
      <c r="N66" s="366" t="e">
        <f>ROUND(N$65*$D$66/100,0)</f>
        <v>#VALUE!</v>
      </c>
      <c r="O66" s="108"/>
    </row>
    <row r="67" spans="1:15">
      <c r="A67" s="87"/>
      <c r="B67" s="290" t="s">
        <v>166</v>
      </c>
      <c r="C67" s="291" t="s">
        <v>296</v>
      </c>
      <c r="D67" s="292">
        <f>DATOS!E186</f>
        <v>5</v>
      </c>
      <c r="E67" s="293"/>
      <c r="F67" s="366">
        <f>ROUND(F$65*$D$67/100,0)</f>
        <v>0</v>
      </c>
      <c r="G67" s="366"/>
      <c r="H67" s="279"/>
      <c r="I67" s="366" t="e">
        <f>ROUND(I$65*$D$67/100,0)</f>
        <v>#VALUE!</v>
      </c>
      <c r="J67" s="366"/>
      <c r="K67" s="279"/>
      <c r="L67" s="366" t="e">
        <f>ROUND(L$65*$D$67/100,0)</f>
        <v>#VALUE!</v>
      </c>
      <c r="M67" s="279"/>
      <c r="N67" s="366" t="e">
        <f>ROUND(N$65*$D$67/100,0)</f>
        <v>#VALUE!</v>
      </c>
      <c r="O67" s="108"/>
    </row>
    <row r="68" spans="1:15" ht="12.75" thickBot="1">
      <c r="A68" s="87"/>
      <c r="B68" s="294" t="s">
        <v>167</v>
      </c>
      <c r="C68" s="295" t="s">
        <v>296</v>
      </c>
      <c r="D68" s="292">
        <f>DATOS!E188</f>
        <v>8</v>
      </c>
      <c r="E68" s="293"/>
      <c r="F68" s="366">
        <f>ROUND(F$65*$D$68/100,0)</f>
        <v>0</v>
      </c>
      <c r="G68" s="366"/>
      <c r="H68" s="279"/>
      <c r="I68" s="366" t="e">
        <f>ROUND(I$65*$D$68/100,0)</f>
        <v>#VALUE!</v>
      </c>
      <c r="J68" s="366"/>
      <c r="K68" s="279"/>
      <c r="L68" s="366" t="e">
        <f>ROUND(L$65*$D$68/100,0)</f>
        <v>#VALUE!</v>
      </c>
      <c r="M68" s="279"/>
      <c r="N68" s="366" t="e">
        <f>ROUND(N$65*$D$68/100,0)</f>
        <v>#VALUE!</v>
      </c>
      <c r="O68" s="108"/>
    </row>
    <row r="69" spans="1:15" ht="12.75" thickBot="1">
      <c r="A69" s="87"/>
      <c r="B69" s="280" t="s">
        <v>324</v>
      </c>
      <c r="C69" s="281"/>
      <c r="D69" s="282"/>
      <c r="E69" s="282"/>
      <c r="F69" s="361">
        <f>SUM(F66:F68)</f>
        <v>0</v>
      </c>
      <c r="G69" s="404"/>
      <c r="H69" s="284"/>
      <c r="I69" s="361" t="e">
        <f>SUM(I66:I68)</f>
        <v>#VALUE!</v>
      </c>
      <c r="J69" s="404"/>
      <c r="K69" s="284"/>
      <c r="L69" s="361" t="e">
        <f>SUM(L66:L68)</f>
        <v>#VALUE!</v>
      </c>
      <c r="M69" s="284"/>
      <c r="N69" s="361" t="e">
        <f>SUM(N66:N68)</f>
        <v>#VALUE!</v>
      </c>
      <c r="O69" s="108"/>
    </row>
    <row r="70" spans="1:15" ht="12.75" thickBot="1">
      <c r="A70" s="87"/>
      <c r="B70" s="1150"/>
      <c r="C70" s="1150"/>
      <c r="D70" s="293"/>
      <c r="E70" s="293"/>
      <c r="F70" s="371"/>
      <c r="G70" s="371"/>
      <c r="H70" s="279"/>
      <c r="I70" s="371"/>
      <c r="J70" s="371"/>
      <c r="K70" s="279"/>
      <c r="L70" s="371"/>
      <c r="M70" s="279"/>
      <c r="N70" s="371"/>
      <c r="O70" s="108"/>
    </row>
    <row r="71" spans="1:15" ht="12.75" thickBot="1">
      <c r="A71" s="87"/>
      <c r="B71" s="280" t="s">
        <v>325</v>
      </c>
      <c r="C71" s="281"/>
      <c r="D71" s="282"/>
      <c r="E71" s="282"/>
      <c r="F71" s="361">
        <f>F65+F69</f>
        <v>0</v>
      </c>
      <c r="G71" s="404"/>
      <c r="H71" s="284"/>
      <c r="I71" s="361" t="e">
        <f>I65+I69</f>
        <v>#VALUE!</v>
      </c>
      <c r="J71" s="404"/>
      <c r="K71" s="284"/>
      <c r="L71" s="361" t="e">
        <f>L65+L69</f>
        <v>#VALUE!</v>
      </c>
      <c r="M71" s="284"/>
      <c r="N71" s="361" t="e">
        <f>N65+N69</f>
        <v>#VALUE!</v>
      </c>
      <c r="O71" s="108"/>
    </row>
    <row r="72" spans="1:15">
      <c r="A72" s="87" t="str">
        <f>IF(LOOKUP(O72,PPTO!$J$8:$J$269,PPTO!A$8:A$269)=0," ",LOOKUP(O72,PPTO!$J$8:$J$269,PPTO!A$8:A$269))</f>
        <v xml:space="preserve"> </v>
      </c>
      <c r="B72" s="91" t="str">
        <f>IF(LOOKUP(O72,PPTO!$J$8:J$269,PPTO!B$8:B$269)=0," ",LOOKUP(O72,PPTO!$J$8:J$269,PPTO!B$8:B$269))</f>
        <v xml:space="preserve"> </v>
      </c>
      <c r="C72" s="89" t="str">
        <f>IF(LOOKUP(O72,PPTO!$J$8:$J$269,PPTO!D$8:D$269)=0," ",LOOKUP(O72,PPTO!$J$8:$J$269,PPTO!D$8:D$269))</f>
        <v xml:space="preserve"> </v>
      </c>
      <c r="D72" s="90" t="str">
        <f>IF(LOOKUP(O72,PPTO!$J$8:$J$269,PPTO!E$8:E$269)=0," ",LOOKUP(O72,PPTO!$J$8:$J$269,PPTO!E$8:E$269))</f>
        <v xml:space="preserve"> </v>
      </c>
      <c r="E72" s="90" t="str">
        <f>IF(LOOKUP(O72,PPTO!$J$8:$J$269,PPTO!F$8:F$269)=0," ",LOOKUP(O72,PPTO!$J$8:$J$269,PPTO!F$8:F$269))</f>
        <v xml:space="preserve"> </v>
      </c>
      <c r="F72" s="90" t="str">
        <f>IF(LOOKUP(O72,PPTO!$J$8:$J$269,PPTO!H$8:H$269)=0," ",LOOKUP(O72,PPTO!$J$8:$J$269,PPTO!H$8:H$269))</f>
        <v xml:space="preserve"> </v>
      </c>
      <c r="G72" s="90"/>
      <c r="H72" s="102"/>
      <c r="I72" s="102"/>
      <c r="J72" s="102"/>
      <c r="K72" s="102"/>
      <c r="L72" s="102"/>
      <c r="M72" s="102"/>
      <c r="N72" s="102"/>
      <c r="O72" s="108">
        <v>45</v>
      </c>
    </row>
    <row r="73" spans="1:15">
      <c r="A73" s="92">
        <f>IF(LOOKUP(O73,PPTO!$J$8:$J$269,PPTO!A$8:A$269)=0," ",LOOKUP(O73,PPTO!$J$8:$J$269,PPTO!A$8:A$269))</f>
        <v>7</v>
      </c>
      <c r="B73" s="88" t="str">
        <f>IF(LOOKUP(O73,PPTO!$J$8:J$269,PPTO!B$8:B$269)=0," ",LOOKUP(O73,PPTO!$J$8:J$269,PPTO!B$8:B$269))</f>
        <v>SUMINISTRO DE TUBERIA</v>
      </c>
      <c r="C73" s="89" t="str">
        <f>IF(LOOKUP(O73,PPTO!$J$8:$J$269,PPTO!D$8:D$269)=0," ",LOOKUP(O73,PPTO!$J$8:$J$269,PPTO!D$8:D$269))</f>
        <v xml:space="preserve"> </v>
      </c>
      <c r="D73" s="90" t="str">
        <f>IF(LOOKUP(O73,PPTO!$J$8:$J$269,PPTO!E$8:E$269)=0," ",LOOKUP(O73,PPTO!$J$8:$J$269,PPTO!E$8:E$269))</f>
        <v xml:space="preserve"> </v>
      </c>
      <c r="E73" s="90" t="str">
        <f>IF(LOOKUP(O73,PPTO!$J$8:$J$269,PPTO!F$8:F$269)=0," ",LOOKUP(O73,PPTO!$J$8:$J$269,PPTO!F$8:F$269))</f>
        <v xml:space="preserve"> </v>
      </c>
      <c r="F73" s="90" t="str">
        <f>IF(LOOKUP(O73,PPTO!$J$8:$J$269,PPTO!H$8:H$269)=0," ",LOOKUP(O73,PPTO!$J$8:$J$269,PPTO!H$8:H$269))</f>
        <v xml:space="preserve"> </v>
      </c>
      <c r="G73" s="90"/>
      <c r="H73" s="102"/>
      <c r="I73" s="102"/>
      <c r="J73" s="102"/>
      <c r="K73" s="102"/>
      <c r="L73" s="102"/>
      <c r="M73" s="175"/>
      <c r="N73" s="102"/>
      <c r="O73" s="108">
        <f>O72+1</f>
        <v>46</v>
      </c>
    </row>
    <row r="74" spans="1:15" ht="24">
      <c r="A74" s="87" t="str">
        <f>IF(LOOKUP(O74,PPTO!$J$8:$J$269,PPTO!A$8:A$269)=0," ",LOOKUP(O74,PPTO!$J$8:$J$269,PPTO!A$8:A$269))</f>
        <v>7.01</v>
      </c>
      <c r="B74" s="91" t="str">
        <f>IF(LOOKUP(O74,PPTO!$J$8:J$269,PPTO!B$8:B$269)=0," ",LOOKUP(O74,PPTO!$J$8:J$269,PPTO!B$8:B$269))</f>
        <v>SUM DE TUBERIA PVC UNION MECANICA PARA ALCANTARILLADOS 6", 160 MM</v>
      </c>
      <c r="C74" s="89" t="str">
        <f>IF(LOOKUP(O74,PPTO!$J$8:$J$269,PPTO!D$8:D$269)=0," ",LOOKUP(O74,PPTO!$J$8:$J$269,PPTO!D$8:D$269))</f>
        <v>ML</v>
      </c>
      <c r="D74" s="90" t="str">
        <f>IF(LOOKUP(O74,PPTO!$J$8:$J$269,PPTO!E$8:E$269)=0," ",LOOKUP(O74,PPTO!$J$8:$J$269,PPTO!E$8:E$269))</f>
        <v xml:space="preserve"> </v>
      </c>
      <c r="E74" s="90" t="str">
        <f>IF(LOOKUP(O74,PPTO!$J$8:$J$269,PPTO!F$8:F$269)=0," ",LOOKUP(O74,PPTO!$J$8:$J$269,PPTO!F$8:F$269))</f>
        <v xml:space="preserve"> </v>
      </c>
      <c r="F74" s="90" t="str">
        <f>IF(LOOKUP(O74,PPTO!$J$8:$J$269,PPTO!H$8:H$269)=0," ",LOOKUP(O74,PPTO!$J$8:$J$269,PPTO!H$8:H$269))</f>
        <v xml:space="preserve"> </v>
      </c>
      <c r="G74" s="90"/>
      <c r="H74" s="102" t="e">
        <f>'ACTA MODIFICACIÓN No.1'!K74+'ACTA MODIFICACIÓN No.2'!K74</f>
        <v>#VALUE!</v>
      </c>
      <c r="I74" s="102" t="e">
        <f t="shared" ref="I74" si="7">ROUND(H74*E74,0)</f>
        <v>#VALUE!</v>
      </c>
      <c r="J74" s="102"/>
      <c r="K74" s="102" t="e">
        <f t="shared" ref="K74" si="8">M74-H74-D74</f>
        <v>#VALUE!</v>
      </c>
      <c r="L74" s="102" t="e">
        <f t="shared" ref="L74" si="9">ROUND(K74*E74,0)</f>
        <v>#VALUE!</v>
      </c>
      <c r="M74" s="175">
        <v>7554</v>
      </c>
      <c r="N74" s="102" t="e">
        <f>ROUND(M74*E74,0)</f>
        <v>#VALUE!</v>
      </c>
      <c r="O74" s="108">
        <f t="shared" ref="O74:O78" si="10">O73+1</f>
        <v>47</v>
      </c>
    </row>
    <row r="75" spans="1:15">
      <c r="A75" s="87" t="str">
        <f>IF(LOOKUP(O75,PPTO!$J$8:$J$269,PPTO!A$8:A$269)=0," ",LOOKUP(O75,PPTO!$J$8:$J$269,PPTO!A$8:A$269))</f>
        <v>7.02</v>
      </c>
      <c r="B75" s="91" t="str">
        <f>IF(LOOKUP(O75,PPTO!$J$8:J$269,PPTO!B$8:B$269)=0," ",LOOKUP(O75,PPTO!$J$8:J$269,PPTO!B$8:B$269))</f>
        <v>SUM TUB PVC 8" ALC</v>
      </c>
      <c r="C75" s="89" t="str">
        <f>IF(LOOKUP(O75,PPTO!$J$8:$J$269,PPTO!D$8:D$269)=0," ",LOOKUP(O75,PPTO!$J$8:$J$269,PPTO!D$8:D$269))</f>
        <v>ML</v>
      </c>
      <c r="D75" s="90" t="str">
        <f>IF(LOOKUP(O75,PPTO!$J$8:$J$269,PPTO!E$8:E$269)=0," ",LOOKUP(O75,PPTO!$J$8:$J$269,PPTO!E$8:E$269))</f>
        <v xml:space="preserve"> </v>
      </c>
      <c r="E75" s="90" t="str">
        <f>IF(LOOKUP(O75,PPTO!$J$8:$J$269,PPTO!F$8:F$269)=0," ",LOOKUP(O75,PPTO!$J$8:$J$269,PPTO!F$8:F$269))</f>
        <v xml:space="preserve"> </v>
      </c>
      <c r="F75" s="90" t="str">
        <f>IF(LOOKUP(O75,PPTO!$J$8:$J$269,PPTO!H$8:H$269)=0," ",LOOKUP(O75,PPTO!$J$8:$J$269,PPTO!H$8:H$269))</f>
        <v xml:space="preserve"> </v>
      </c>
      <c r="G75" s="90"/>
      <c r="H75" s="102" t="e">
        <f>'ACTA MODIFICACIÓN No.1'!K75+'ACTA MODIFICACIÓN No.2'!K75</f>
        <v>#VALUE!</v>
      </c>
      <c r="I75" s="102" t="e">
        <f t="shared" ref="I75:I78" si="11">ROUND(H75*E75,0)</f>
        <v>#VALUE!</v>
      </c>
      <c r="J75" s="102"/>
      <c r="K75" s="102" t="e">
        <f t="shared" ref="K75:K78" si="12">M75-H75-D75</f>
        <v>#VALUE!</v>
      </c>
      <c r="L75" s="102" t="e">
        <f t="shared" ref="L75:L78" si="13">ROUND(K75*E75,0)</f>
        <v>#VALUE!</v>
      </c>
      <c r="M75" s="175">
        <v>10629.07</v>
      </c>
      <c r="N75" s="102" t="e">
        <f t="shared" ref="N75:N78" si="14">ROUND(M75*E75,0)</f>
        <v>#VALUE!</v>
      </c>
      <c r="O75" s="108">
        <f t="shared" si="10"/>
        <v>48</v>
      </c>
    </row>
    <row r="76" spans="1:15">
      <c r="A76" s="87" t="str">
        <f>IF(LOOKUP(O76,PPTO!$J$8:$J$269,PPTO!A$8:A$269)=0," ",LOOKUP(O76,PPTO!$J$8:$J$269,PPTO!A$8:A$269))</f>
        <v>7.03</v>
      </c>
      <c r="B76" s="91" t="str">
        <f>IF(LOOKUP(O76,PPTO!$J$8:J$269,PPTO!B$8:B$269)=0," ",LOOKUP(O76,PPTO!$J$8:J$269,PPTO!B$8:B$269))</f>
        <v>SUM TUB PVC 10" ALC</v>
      </c>
      <c r="C76" s="89" t="str">
        <f>IF(LOOKUP(O76,PPTO!$J$8:$J$269,PPTO!D$8:D$269)=0," ",LOOKUP(O76,PPTO!$J$8:$J$269,PPTO!D$8:D$269))</f>
        <v>ML</v>
      </c>
      <c r="D76" s="90" t="str">
        <f>IF(LOOKUP(O76,PPTO!$J$8:$J$269,PPTO!E$8:E$269)=0," ",LOOKUP(O76,PPTO!$J$8:$J$269,PPTO!E$8:E$269))</f>
        <v xml:space="preserve"> </v>
      </c>
      <c r="E76" s="90" t="str">
        <f>IF(LOOKUP(O76,PPTO!$J$8:$J$269,PPTO!F$8:F$269)=0," ",LOOKUP(O76,PPTO!$J$8:$J$269,PPTO!F$8:F$269))</f>
        <v xml:space="preserve"> </v>
      </c>
      <c r="F76" s="90" t="str">
        <f>IF(LOOKUP(O76,PPTO!$J$8:$J$269,PPTO!H$8:H$269)=0," ",LOOKUP(O76,PPTO!$J$8:$J$269,PPTO!H$8:H$269))</f>
        <v xml:space="preserve"> </v>
      </c>
      <c r="G76" s="90"/>
      <c r="H76" s="102" t="e">
        <f>'ACTA MODIFICACIÓN No.1'!K76+'ACTA MODIFICACIÓN No.2'!K76</f>
        <v>#VALUE!</v>
      </c>
      <c r="I76" s="102" t="e">
        <f t="shared" si="11"/>
        <v>#VALUE!</v>
      </c>
      <c r="J76" s="102"/>
      <c r="K76" s="102" t="e">
        <f t="shared" si="12"/>
        <v>#VALUE!</v>
      </c>
      <c r="L76" s="102" t="e">
        <f t="shared" si="13"/>
        <v>#VALUE!</v>
      </c>
      <c r="M76" s="175">
        <v>119.02</v>
      </c>
      <c r="N76" s="102" t="e">
        <f t="shared" si="14"/>
        <v>#VALUE!</v>
      </c>
      <c r="O76" s="108">
        <f t="shared" si="10"/>
        <v>49</v>
      </c>
    </row>
    <row r="77" spans="1:15">
      <c r="A77" s="87" t="str">
        <f>IF(LOOKUP(O77,PPTO!$J$8:$J$269,PPTO!A$8:A$269)=0," ",LOOKUP(O77,PPTO!$J$8:$J$269,PPTO!A$8:A$269))</f>
        <v>7.04</v>
      </c>
      <c r="B77" s="91" t="str">
        <f>IF(LOOKUP(O77,PPTO!$J$8:J$269,PPTO!B$8:B$269)=0," ",LOOKUP(O77,PPTO!$J$8:J$269,PPTO!B$8:B$269))</f>
        <v>SUM TUB PVC 12" ALC</v>
      </c>
      <c r="C77" s="89" t="str">
        <f>IF(LOOKUP(O77,PPTO!$J$8:$J$269,PPTO!D$8:D$269)=0," ",LOOKUP(O77,PPTO!$J$8:$J$269,PPTO!D$8:D$269))</f>
        <v>ML</v>
      </c>
      <c r="D77" s="90" t="str">
        <f>IF(LOOKUP(O77,PPTO!$J$8:$J$269,PPTO!E$8:E$269)=0," ",LOOKUP(O77,PPTO!$J$8:$J$269,PPTO!E$8:E$269))</f>
        <v xml:space="preserve"> </v>
      </c>
      <c r="E77" s="90" t="str">
        <f>IF(LOOKUP(O77,PPTO!$J$8:$J$269,PPTO!F$8:F$269)=0," ",LOOKUP(O77,PPTO!$J$8:$J$269,PPTO!F$8:F$269))</f>
        <v xml:space="preserve"> </v>
      </c>
      <c r="F77" s="90" t="str">
        <f>IF(LOOKUP(O77,PPTO!$J$8:$J$269,PPTO!H$8:H$269)=0," ",LOOKUP(O77,PPTO!$J$8:$J$269,PPTO!H$8:H$269))</f>
        <v xml:space="preserve"> </v>
      </c>
      <c r="G77" s="90"/>
      <c r="H77" s="102" t="e">
        <f>'ACTA MODIFICACIÓN No.1'!K77+'ACTA MODIFICACIÓN No.2'!K77</f>
        <v>#VALUE!</v>
      </c>
      <c r="I77" s="102" t="e">
        <f t="shared" si="11"/>
        <v>#VALUE!</v>
      </c>
      <c r="J77" s="102"/>
      <c r="K77" s="102" t="e">
        <f t="shared" si="12"/>
        <v>#VALUE!</v>
      </c>
      <c r="L77" s="102" t="e">
        <f t="shared" si="13"/>
        <v>#VALUE!</v>
      </c>
      <c r="M77" s="175">
        <v>293.73</v>
      </c>
      <c r="N77" s="102" t="e">
        <f t="shared" si="14"/>
        <v>#VALUE!</v>
      </c>
      <c r="O77" s="108">
        <f t="shared" si="10"/>
        <v>50</v>
      </c>
    </row>
    <row r="78" spans="1:15">
      <c r="A78" s="87" t="str">
        <f>IF(LOOKUP(O78,PPTO!$J$8:$J$269,PPTO!A$8:A$269)=0," ",LOOKUP(O78,PPTO!$J$8:$J$269,PPTO!A$8:A$269))</f>
        <v>7.05</v>
      </c>
      <c r="B78" s="91" t="str">
        <f>IF(LOOKUP(O78,PPTO!$J$8:J$269,PPTO!B$8:B$269)=0," ",LOOKUP(O78,PPTO!$J$8:J$269,PPTO!B$8:B$269))</f>
        <v>SUMINISTRO TUB PVC NOVAFORT 14 "</v>
      </c>
      <c r="C78" s="89" t="str">
        <f>IF(LOOKUP(O78,PPTO!$J$8:$J$269,PPTO!D$8:D$269)=0," ",LOOKUP(O78,PPTO!$J$8:$J$269,PPTO!D$8:D$269))</f>
        <v>ML</v>
      </c>
      <c r="D78" s="90" t="str">
        <f>IF(LOOKUP(O78,PPTO!$J$8:$J$269,PPTO!E$8:E$269)=0," ",LOOKUP(O78,PPTO!$J$8:$J$269,PPTO!E$8:E$269))</f>
        <v xml:space="preserve"> </v>
      </c>
      <c r="E78" s="90" t="str">
        <f>IF(LOOKUP(O78,PPTO!$J$8:$J$269,PPTO!F$8:F$269)=0," ",LOOKUP(O78,PPTO!$J$8:$J$269,PPTO!F$8:F$269))</f>
        <v xml:space="preserve"> </v>
      </c>
      <c r="F78" s="90" t="str">
        <f>IF(LOOKUP(O78,PPTO!$J$8:$J$269,PPTO!H$8:H$269)=0," ",LOOKUP(O78,PPTO!$J$8:$J$269,PPTO!H$8:H$269))</f>
        <v xml:space="preserve"> </v>
      </c>
      <c r="G78" s="90"/>
      <c r="H78" s="102" t="e">
        <f>'ACTA MODIFICACIÓN No.1'!K78+'ACTA MODIFICACIÓN No.2'!K78</f>
        <v>#VALUE!</v>
      </c>
      <c r="I78" s="102" t="e">
        <f t="shared" si="11"/>
        <v>#VALUE!</v>
      </c>
      <c r="J78" s="102"/>
      <c r="K78" s="102" t="e">
        <f t="shared" si="12"/>
        <v>#VALUE!</v>
      </c>
      <c r="L78" s="102" t="e">
        <f t="shared" si="13"/>
        <v>#VALUE!</v>
      </c>
      <c r="M78" s="175">
        <v>915</v>
      </c>
      <c r="N78" s="102" t="e">
        <f t="shared" si="14"/>
        <v>#VALUE!</v>
      </c>
      <c r="O78" s="108">
        <f t="shared" si="10"/>
        <v>51</v>
      </c>
    </row>
    <row r="79" spans="1:15">
      <c r="A79" s="87"/>
      <c r="B79" s="210"/>
      <c r="C79" s="155"/>
      <c r="D79" s="156"/>
      <c r="E79" s="156"/>
      <c r="F79" s="156"/>
      <c r="G79" s="156"/>
      <c r="H79" s="161"/>
      <c r="I79" s="161"/>
      <c r="J79" s="161"/>
      <c r="K79" s="102"/>
      <c r="L79" s="102"/>
      <c r="M79" s="102"/>
      <c r="N79" s="102"/>
      <c r="O79" s="108"/>
    </row>
    <row r="80" spans="1:15">
      <c r="A80" s="87"/>
      <c r="B80" s="275" t="s">
        <v>348</v>
      </c>
      <c r="C80" s="276"/>
      <c r="D80" s="277"/>
      <c r="E80" s="277"/>
      <c r="F80" s="277">
        <v>0</v>
      </c>
      <c r="G80" s="277"/>
      <c r="H80" s="278"/>
      <c r="I80" s="278">
        <v>0</v>
      </c>
      <c r="J80" s="278"/>
      <c r="K80" s="279"/>
      <c r="L80" s="279">
        <v>0</v>
      </c>
      <c r="M80" s="279"/>
      <c r="N80" s="279">
        <v>0</v>
      </c>
      <c r="O80" s="108"/>
    </row>
    <row r="81" spans="1:15" ht="12.75" thickBot="1">
      <c r="A81" s="87"/>
      <c r="B81" s="91"/>
      <c r="C81" s="89"/>
      <c r="D81" s="90"/>
      <c r="E81" s="90"/>
      <c r="F81" s="90"/>
      <c r="G81" s="90"/>
      <c r="H81" s="102"/>
      <c r="I81" s="102"/>
      <c r="J81" s="102"/>
      <c r="K81" s="102"/>
      <c r="L81" s="102"/>
      <c r="M81" s="102"/>
      <c r="N81" s="102"/>
      <c r="O81" s="108"/>
    </row>
    <row r="82" spans="1:15" ht="12.75" thickBot="1">
      <c r="A82" s="92"/>
      <c r="B82" s="280" t="s">
        <v>326</v>
      </c>
      <c r="C82" s="281"/>
      <c r="D82" s="282"/>
      <c r="E82" s="282"/>
      <c r="F82" s="361">
        <f>SUM(F74:F81)</f>
        <v>0</v>
      </c>
      <c r="G82" s="404"/>
      <c r="H82" s="284"/>
      <c r="I82" s="361" t="e">
        <f>SUM(I74:I81)</f>
        <v>#VALUE!</v>
      </c>
      <c r="J82" s="404"/>
      <c r="K82" s="284"/>
      <c r="L82" s="361" t="e">
        <f>SUM(L74:L81)</f>
        <v>#VALUE!</v>
      </c>
      <c r="M82" s="284"/>
      <c r="N82" s="361" t="e">
        <f>SUM(N74:N81)</f>
        <v>#VALUE!</v>
      </c>
      <c r="O82" s="108"/>
    </row>
    <row r="83" spans="1:15" ht="12.75" thickBot="1">
      <c r="A83" s="87"/>
      <c r="B83" s="285" t="s">
        <v>174</v>
      </c>
      <c r="C83" s="286" t="s">
        <v>296</v>
      </c>
      <c r="D83" s="287">
        <f>DATOS!E192</f>
        <v>18.5</v>
      </c>
      <c r="E83" s="288"/>
      <c r="F83" s="366">
        <f>ROUND(F$82*$D$83/100,0)</f>
        <v>0</v>
      </c>
      <c r="G83" s="366"/>
      <c r="H83" s="289"/>
      <c r="I83" s="366" t="e">
        <f>ROUND(I$82*$D$83/100,0)</f>
        <v>#VALUE!</v>
      </c>
      <c r="J83" s="366"/>
      <c r="K83" s="289"/>
      <c r="L83" s="366" t="e">
        <f>ROUND(L$82*$D$83/100,0)</f>
        <v>#VALUE!</v>
      </c>
      <c r="M83" s="289"/>
      <c r="N83" s="366" t="e">
        <f>ROUND(N$82*$D$83/100,0)</f>
        <v>#VALUE!</v>
      </c>
      <c r="O83" s="108"/>
    </row>
    <row r="84" spans="1:15" ht="12.75" thickBot="1">
      <c r="A84" s="87"/>
      <c r="B84" s="280" t="s">
        <v>327</v>
      </c>
      <c r="C84" s="281"/>
      <c r="D84" s="282"/>
      <c r="E84" s="282"/>
      <c r="F84" s="361">
        <f>F83</f>
        <v>0</v>
      </c>
      <c r="G84" s="404"/>
      <c r="H84" s="284"/>
      <c r="I84" s="361" t="e">
        <f>I83</f>
        <v>#VALUE!</v>
      </c>
      <c r="J84" s="404"/>
      <c r="K84" s="284"/>
      <c r="L84" s="361" t="e">
        <f>L83</f>
        <v>#VALUE!</v>
      </c>
      <c r="M84" s="284"/>
      <c r="N84" s="361" t="e">
        <f>N83</f>
        <v>#VALUE!</v>
      </c>
      <c r="O84" s="108"/>
    </row>
    <row r="85" spans="1:15" ht="12.75" thickBot="1">
      <c r="A85" s="87"/>
      <c r="B85" s="1150"/>
      <c r="C85" s="1150"/>
      <c r="D85" s="293"/>
      <c r="E85" s="293"/>
      <c r="F85" s="371"/>
      <c r="G85" s="371"/>
      <c r="H85" s="279"/>
      <c r="I85" s="371"/>
      <c r="J85" s="371"/>
      <c r="K85" s="279"/>
      <c r="L85" s="371"/>
      <c r="M85" s="279"/>
      <c r="N85" s="371"/>
      <c r="O85" s="108"/>
    </row>
    <row r="86" spans="1:15" ht="12.75" thickBot="1">
      <c r="A86" s="87"/>
      <c r="B86" s="280" t="s">
        <v>328</v>
      </c>
      <c r="C86" s="281"/>
      <c r="D86" s="282"/>
      <c r="E86" s="282"/>
      <c r="F86" s="361">
        <f>F82+F84</f>
        <v>0</v>
      </c>
      <c r="G86" s="404"/>
      <c r="H86" s="284"/>
      <c r="I86" s="361" t="e">
        <f>I82+I84</f>
        <v>#VALUE!</v>
      </c>
      <c r="J86" s="404"/>
      <c r="K86" s="284"/>
      <c r="L86" s="361" t="e">
        <f>L82+L84</f>
        <v>#VALUE!</v>
      </c>
      <c r="M86" s="284"/>
      <c r="N86" s="361" t="e">
        <f>N82+N84</f>
        <v>#VALUE!</v>
      </c>
      <c r="O86" s="108"/>
    </row>
    <row r="87" spans="1:15" ht="12.75" thickBot="1">
      <c r="A87" s="87"/>
      <c r="B87" s="1151"/>
      <c r="C87" s="1151"/>
      <c r="D87" s="293"/>
      <c r="E87" s="293"/>
      <c r="F87" s="371"/>
      <c r="G87" s="371"/>
      <c r="H87" s="279"/>
      <c r="I87" s="371"/>
      <c r="J87" s="371"/>
      <c r="K87" s="279"/>
      <c r="L87" s="371"/>
      <c r="M87" s="279"/>
      <c r="N87" s="371"/>
      <c r="O87" s="108"/>
    </row>
    <row r="88" spans="1:15" ht="12.75" thickBot="1">
      <c r="A88" s="87"/>
      <c r="B88" s="280" t="s">
        <v>325</v>
      </c>
      <c r="C88" s="281"/>
      <c r="D88" s="282"/>
      <c r="E88" s="282"/>
      <c r="F88" s="361">
        <f>F71</f>
        <v>0</v>
      </c>
      <c r="G88" s="404"/>
      <c r="H88" s="284"/>
      <c r="I88" s="361" t="e">
        <f>I71</f>
        <v>#VALUE!</v>
      </c>
      <c r="J88" s="404"/>
      <c r="K88" s="284"/>
      <c r="L88" s="361" t="e">
        <f>L71</f>
        <v>#VALUE!</v>
      </c>
      <c r="M88" s="284"/>
      <c r="N88" s="361" t="e">
        <f>N71</f>
        <v>#VALUE!</v>
      </c>
      <c r="O88" s="108"/>
    </row>
    <row r="89" spans="1:15" ht="12.75" thickBot="1">
      <c r="A89" s="87"/>
      <c r="B89" s="1151"/>
      <c r="C89" s="1151"/>
      <c r="D89" s="293"/>
      <c r="E89" s="293"/>
      <c r="F89" s="371"/>
      <c r="G89" s="371"/>
      <c r="H89" s="279"/>
      <c r="I89" s="371"/>
      <c r="J89" s="371"/>
      <c r="K89" s="279"/>
      <c r="L89" s="371"/>
      <c r="M89" s="279"/>
      <c r="N89" s="371"/>
      <c r="O89" s="108"/>
    </row>
    <row r="90" spans="1:15" ht="12.75" thickBot="1">
      <c r="A90" s="87"/>
      <c r="B90" s="280" t="s">
        <v>328</v>
      </c>
      <c r="C90" s="281"/>
      <c r="D90" s="282"/>
      <c r="E90" s="282"/>
      <c r="F90" s="361">
        <f>F86</f>
        <v>0</v>
      </c>
      <c r="G90" s="404"/>
      <c r="H90" s="284"/>
      <c r="I90" s="361" t="e">
        <f>I86</f>
        <v>#VALUE!</v>
      </c>
      <c r="J90" s="404"/>
      <c r="K90" s="284"/>
      <c r="L90" s="361" t="e">
        <f>L86</f>
        <v>#VALUE!</v>
      </c>
      <c r="M90" s="284"/>
      <c r="N90" s="361" t="e">
        <f>N86</f>
        <v>#VALUE!</v>
      </c>
      <c r="O90" s="108"/>
    </row>
    <row r="91" spans="1:15" ht="12.75" thickBot="1">
      <c r="A91" s="87"/>
      <c r="B91" s="976"/>
      <c r="C91" s="976"/>
      <c r="D91" s="144"/>
      <c r="E91" s="90"/>
      <c r="F91" s="90"/>
      <c r="G91" s="156"/>
      <c r="H91" s="161"/>
      <c r="I91" s="90"/>
      <c r="J91" s="156"/>
      <c r="K91" s="161"/>
      <c r="L91" s="90"/>
      <c r="M91" s="161"/>
      <c r="N91" s="90"/>
      <c r="O91" s="108"/>
    </row>
    <row r="92" spans="1:15" ht="12.75" thickBot="1">
      <c r="A92" s="87"/>
      <c r="B92" s="157" t="s">
        <v>117</v>
      </c>
      <c r="C92" s="158"/>
      <c r="D92" s="159"/>
      <c r="E92" s="159"/>
      <c r="F92" s="160">
        <f>F88+F90</f>
        <v>0</v>
      </c>
      <c r="G92" s="478"/>
      <c r="H92" s="169"/>
      <c r="I92" s="170" t="e">
        <f>I88+I90</f>
        <v>#VALUE!</v>
      </c>
      <c r="J92" s="479"/>
      <c r="K92" s="171"/>
      <c r="L92" s="170" t="e">
        <f>L88+L90</f>
        <v>#VALUE!</v>
      </c>
      <c r="M92" s="167"/>
      <c r="N92" s="168" t="e">
        <f>N88+N90</f>
        <v>#VALUE!</v>
      </c>
      <c r="O92" s="108"/>
    </row>
    <row r="93" spans="1:15">
      <c r="A93" s="87"/>
      <c r="B93" s="91"/>
      <c r="C93" s="89"/>
      <c r="D93" s="90"/>
      <c r="E93" s="90"/>
      <c r="F93" s="90"/>
      <c r="G93" s="90"/>
      <c r="H93" s="102"/>
      <c r="I93" s="102"/>
      <c r="J93" s="102"/>
      <c r="K93" s="102"/>
      <c r="L93" s="102"/>
      <c r="M93" s="102"/>
      <c r="N93" s="102"/>
      <c r="O93" s="108"/>
    </row>
    <row r="94" spans="1:15">
      <c r="A94" s="87"/>
      <c r="B94" s="88"/>
      <c r="C94" s="89"/>
      <c r="D94" s="90"/>
      <c r="E94" s="90"/>
      <c r="F94" s="90"/>
      <c r="G94" s="90"/>
      <c r="H94" s="102"/>
      <c r="I94" s="102"/>
      <c r="J94" s="102"/>
      <c r="K94" s="102"/>
      <c r="L94" s="102"/>
      <c r="M94" s="102"/>
      <c r="N94" s="102"/>
      <c r="O94" s="108"/>
    </row>
    <row r="95" spans="1:15">
      <c r="A95" s="84"/>
      <c r="B95" s="93"/>
      <c r="C95" s="84"/>
      <c r="D95" s="86"/>
      <c r="E95" s="86"/>
      <c r="F95" s="86"/>
      <c r="G95" s="86"/>
      <c r="H95" s="85"/>
      <c r="I95" s="85"/>
      <c r="J95" s="85"/>
      <c r="K95" s="85"/>
      <c r="L95" s="85"/>
      <c r="M95" s="85"/>
      <c r="N95" s="85"/>
      <c r="O95" s="108"/>
    </row>
    <row r="96" spans="1:15">
      <c r="A96" s="84"/>
      <c r="B96" s="94"/>
      <c r="C96" s="84"/>
      <c r="D96" s="86"/>
      <c r="E96" s="86"/>
      <c r="F96" s="86"/>
      <c r="G96" s="86"/>
      <c r="H96" s="85"/>
      <c r="I96" s="85"/>
      <c r="J96" s="85"/>
      <c r="K96" s="85"/>
      <c r="L96" s="85"/>
      <c r="M96" s="85"/>
      <c r="N96" s="85"/>
      <c r="O96" s="108"/>
    </row>
    <row r="97" spans="1:15">
      <c r="A97" s="84"/>
      <c r="B97" s="1066" t="s">
        <v>333</v>
      </c>
      <c r="C97" s="1066"/>
      <c r="D97" s="1066"/>
      <c r="E97" s="1066"/>
      <c r="F97" s="1066"/>
      <c r="G97" s="1066"/>
      <c r="H97" s="1066"/>
      <c r="I97" s="1066"/>
      <c r="J97" s="1066"/>
      <c r="K97" s="1066"/>
      <c r="L97" s="1066"/>
      <c r="M97" s="1066"/>
      <c r="N97" s="1066"/>
      <c r="O97" s="108"/>
    </row>
    <row r="98" spans="1:15">
      <c r="A98" s="84"/>
      <c r="B98" s="94"/>
      <c r="C98" s="84"/>
      <c r="D98" s="86"/>
      <c r="E98" s="86"/>
      <c r="F98" s="86"/>
      <c r="G98" s="86"/>
      <c r="H98" s="85"/>
      <c r="I98" s="85"/>
      <c r="J98" s="85"/>
      <c r="K98" s="85"/>
      <c r="L98" s="85"/>
      <c r="M98" s="85"/>
      <c r="N98" s="85"/>
      <c r="O98" s="108"/>
    </row>
    <row r="99" spans="1:15">
      <c r="A99" s="84"/>
      <c r="B99" s="94"/>
      <c r="C99" s="84"/>
      <c r="D99" s="86"/>
      <c r="E99" s="86"/>
      <c r="F99" s="86"/>
      <c r="G99" s="86"/>
      <c r="H99" s="85"/>
      <c r="I99" s="85"/>
      <c r="J99" s="85"/>
      <c r="K99" s="85"/>
      <c r="L99" s="85"/>
      <c r="M99" s="85"/>
      <c r="N99" s="85"/>
      <c r="O99" s="108"/>
    </row>
    <row r="100" spans="1:15">
      <c r="A100" s="84"/>
      <c r="B100" s="94"/>
      <c r="C100" s="84"/>
      <c r="D100" s="86"/>
      <c r="E100" s="86"/>
      <c r="F100" s="86"/>
      <c r="G100" s="86"/>
      <c r="H100" s="85"/>
      <c r="I100" s="85"/>
      <c r="J100" s="85"/>
      <c r="K100" s="85"/>
      <c r="L100" s="85"/>
      <c r="M100" s="85"/>
      <c r="N100" s="85"/>
      <c r="O100" s="108"/>
    </row>
    <row r="101" spans="1:15">
      <c r="A101" s="84"/>
      <c r="B101" s="94"/>
      <c r="C101" s="84"/>
      <c r="D101" s="86"/>
      <c r="E101" s="86"/>
      <c r="F101" s="86"/>
      <c r="G101" s="86"/>
      <c r="H101" s="85"/>
      <c r="I101" s="85"/>
      <c r="J101" s="85"/>
      <c r="K101" s="85"/>
      <c r="L101" s="85"/>
      <c r="M101" s="85"/>
      <c r="N101" s="85"/>
      <c r="O101" s="108"/>
    </row>
    <row r="102" spans="1:15">
      <c r="A102" s="84"/>
      <c r="B102" s="85" t="s">
        <v>271</v>
      </c>
      <c r="C102" s="85" t="s">
        <v>271</v>
      </c>
      <c r="D102" s="86"/>
      <c r="E102" s="86"/>
      <c r="F102" s="86"/>
      <c r="G102" s="86"/>
      <c r="H102" s="85" t="s">
        <v>271</v>
      </c>
      <c r="I102" s="85"/>
      <c r="J102" s="85"/>
      <c r="K102" s="85"/>
      <c r="L102" s="94" t="s">
        <v>271</v>
      </c>
      <c r="M102" s="85"/>
      <c r="N102" s="85"/>
      <c r="O102" s="108"/>
    </row>
    <row r="103" spans="1:15">
      <c r="A103" s="84"/>
      <c r="B103" s="115">
        <f>IF(DATOS!E16="Persona Jurídica",DATOS!G20,DATOS!G16)</f>
        <v>0</v>
      </c>
      <c r="C103" s="128">
        <f>IF(DATOS!E10="CONTRATO DE OBRA",IF(DATOS!E24="Persona Jurídica",DATOS!G28,DATOS!G24),DATOS!G30)</f>
        <v>0</v>
      </c>
      <c r="D103" s="86"/>
      <c r="E103" s="86"/>
      <c r="F103" s="86"/>
      <c r="G103" s="86"/>
      <c r="H103" s="115">
        <f>DATOS!E42</f>
        <v>0</v>
      </c>
      <c r="I103" s="85"/>
      <c r="J103" s="85"/>
      <c r="K103" s="85"/>
      <c r="L103" s="128">
        <f>DATOS!E40</f>
        <v>0</v>
      </c>
      <c r="M103" s="85"/>
      <c r="N103" s="85"/>
      <c r="O103" s="108"/>
    </row>
    <row r="104" spans="1:15">
      <c r="A104" s="84"/>
      <c r="B104" s="85" t="str">
        <f>IF(DATOS!E16="Persona Jurídica",DATOS!G16,"CONTRATISTA")</f>
        <v>CONTRATISTA</v>
      </c>
      <c r="C104" s="127" t="str">
        <f>IF(DATOS!E24="Persona Jurídica",DATOS!G24,"INTERVENTOR")</f>
        <v>INTERVENTOR</v>
      </c>
      <c r="D104" s="86"/>
      <c r="E104" s="86"/>
      <c r="F104" s="86"/>
      <c r="G104" s="86"/>
      <c r="H104" s="85" t="s">
        <v>330</v>
      </c>
      <c r="I104" s="85"/>
      <c r="J104" s="85"/>
      <c r="K104" s="85"/>
      <c r="L104" s="127" t="s">
        <v>331</v>
      </c>
      <c r="M104" s="85"/>
      <c r="N104" s="85"/>
      <c r="O104" s="108"/>
    </row>
    <row r="105" spans="1:15">
      <c r="A105" s="84"/>
      <c r="B105" s="85" t="str">
        <f>IF(DATOS!E16="Persona jurídica","CONTRATISTA"," ")</f>
        <v xml:space="preserve"> </v>
      </c>
      <c r="C105" s="127" t="str">
        <f>IF(DATOS!E24="Persona jurídica","INTERVENTOR"," ")</f>
        <v xml:space="preserve"> </v>
      </c>
      <c r="D105" s="86"/>
      <c r="E105" s="86"/>
      <c r="F105" s="86"/>
      <c r="G105" s="86"/>
      <c r="H105" s="85" t="s">
        <v>270</v>
      </c>
      <c r="I105" s="85"/>
      <c r="J105" s="85"/>
      <c r="K105" s="85"/>
      <c r="L105" s="94" t="s">
        <v>270</v>
      </c>
      <c r="M105" s="85"/>
      <c r="N105" s="85"/>
      <c r="O105" s="108"/>
    </row>
    <row r="106" spans="1:15">
      <c r="A106" s="84"/>
      <c r="B106" s="85"/>
      <c r="C106" s="84"/>
      <c r="D106" s="86"/>
      <c r="E106" s="86"/>
      <c r="F106" s="86"/>
      <c r="G106" s="86"/>
      <c r="H106" s="85"/>
      <c r="I106" s="85"/>
      <c r="J106" s="85"/>
      <c r="K106" s="85"/>
      <c r="L106" s="85"/>
      <c r="M106" s="85"/>
      <c r="N106" s="85"/>
      <c r="O106" s="108"/>
    </row>
    <row r="107" spans="1:15">
      <c r="A107" s="84"/>
      <c r="B107" s="85"/>
      <c r="C107" s="84"/>
      <c r="D107" s="86"/>
      <c r="E107" s="86"/>
      <c r="F107" s="86"/>
      <c r="G107" s="86"/>
      <c r="H107" s="85"/>
      <c r="I107" s="85"/>
      <c r="J107" s="85"/>
      <c r="K107" s="85"/>
      <c r="L107" s="85"/>
      <c r="M107" s="85"/>
      <c r="N107" s="85"/>
      <c r="O107" s="108"/>
    </row>
    <row r="108" spans="1:15">
      <c r="A108" s="84"/>
      <c r="B108" s="85"/>
      <c r="C108" s="84"/>
      <c r="D108" s="86"/>
      <c r="E108" s="86"/>
      <c r="F108" s="86"/>
      <c r="G108" s="86"/>
      <c r="H108" s="85"/>
      <c r="I108" s="85"/>
      <c r="J108" s="85"/>
      <c r="K108" s="85"/>
      <c r="L108" s="85"/>
      <c r="M108" s="85"/>
      <c r="N108" s="85"/>
      <c r="O108" s="108"/>
    </row>
    <row r="109" spans="1:15">
      <c r="A109" s="84"/>
      <c r="B109" s="85"/>
      <c r="C109" s="84"/>
      <c r="D109" s="86"/>
      <c r="E109" s="86"/>
      <c r="F109" s="86"/>
      <c r="G109" s="86"/>
      <c r="H109" s="85"/>
      <c r="I109" s="85"/>
      <c r="J109" s="85"/>
      <c r="K109" s="85"/>
      <c r="L109" s="85"/>
      <c r="M109" s="85"/>
      <c r="N109" s="85"/>
      <c r="O109" s="108"/>
    </row>
    <row r="110" spans="1:15">
      <c r="A110" s="84"/>
      <c r="B110" s="85"/>
      <c r="C110" s="84"/>
      <c r="D110" s="86"/>
      <c r="E110" s="86"/>
      <c r="F110" s="86"/>
      <c r="G110" s="86"/>
      <c r="H110" s="85"/>
      <c r="I110" s="85"/>
      <c r="J110" s="85"/>
      <c r="K110" s="85"/>
      <c r="L110" s="85"/>
      <c r="M110" s="85"/>
      <c r="N110" s="85"/>
      <c r="O110" s="108"/>
    </row>
    <row r="111" spans="1:15">
      <c r="A111" s="84"/>
      <c r="B111" s="85"/>
      <c r="C111" s="84"/>
      <c r="D111" s="86"/>
      <c r="E111" s="86"/>
      <c r="F111" s="86"/>
      <c r="G111" s="86"/>
      <c r="H111" s="85"/>
      <c r="I111" s="85"/>
      <c r="J111" s="85"/>
      <c r="K111" s="85"/>
      <c r="L111" s="85"/>
      <c r="M111" s="85"/>
      <c r="N111" s="85"/>
      <c r="O111" s="108"/>
    </row>
    <row r="112" spans="1:15">
      <c r="A112" s="84"/>
      <c r="B112" s="85"/>
      <c r="C112" s="84"/>
      <c r="D112" s="86"/>
      <c r="E112" s="86"/>
      <c r="F112" s="86"/>
      <c r="G112" s="86"/>
      <c r="H112" s="85"/>
      <c r="I112" s="85"/>
      <c r="J112" s="85"/>
      <c r="K112" s="85"/>
      <c r="L112" s="85"/>
      <c r="M112" s="85"/>
      <c r="N112" s="85"/>
      <c r="O112" s="108"/>
    </row>
    <row r="113" spans="1:15">
      <c r="A113" s="84"/>
      <c r="B113" s="85"/>
      <c r="C113" s="84"/>
      <c r="D113" s="86"/>
      <c r="E113" s="86"/>
      <c r="F113" s="86"/>
      <c r="G113" s="86"/>
      <c r="H113" s="85"/>
      <c r="I113" s="85"/>
      <c r="J113" s="85"/>
      <c r="K113" s="85"/>
      <c r="L113" s="85"/>
      <c r="M113" s="85"/>
      <c r="N113" s="85"/>
      <c r="O113" s="108"/>
    </row>
    <row r="114" spans="1:15">
      <c r="A114" s="84"/>
      <c r="B114" s="85"/>
      <c r="C114" s="84"/>
      <c r="D114" s="86"/>
      <c r="E114" s="86"/>
      <c r="F114" s="86"/>
      <c r="G114" s="86"/>
      <c r="H114" s="85"/>
      <c r="I114" s="85"/>
      <c r="J114" s="85"/>
      <c r="K114" s="85"/>
      <c r="L114" s="85"/>
      <c r="M114" s="85"/>
      <c r="N114" s="85"/>
      <c r="O114" s="108"/>
    </row>
    <row r="115" spans="1:15">
      <c r="A115" s="84"/>
      <c r="B115" s="85"/>
      <c r="C115" s="84"/>
      <c r="D115" s="86"/>
      <c r="E115" s="86"/>
      <c r="F115" s="86"/>
      <c r="G115" s="86"/>
      <c r="H115" s="85"/>
      <c r="I115" s="85"/>
      <c r="J115" s="85"/>
      <c r="K115" s="85"/>
      <c r="L115" s="85"/>
      <c r="M115" s="85"/>
      <c r="N115" s="85"/>
      <c r="O115" s="108"/>
    </row>
    <row r="116" spans="1:15">
      <c r="A116" s="84"/>
      <c r="B116" s="85"/>
      <c r="C116" s="84"/>
      <c r="D116" s="86"/>
      <c r="E116" s="86"/>
      <c r="F116" s="86"/>
      <c r="G116" s="86"/>
      <c r="H116" s="85"/>
      <c r="I116" s="85"/>
      <c r="J116" s="85"/>
      <c r="K116" s="85"/>
      <c r="L116" s="85"/>
      <c r="M116" s="85"/>
      <c r="N116" s="85"/>
      <c r="O116" s="108"/>
    </row>
    <row r="117" spans="1:15">
      <c r="A117" s="84"/>
      <c r="B117" s="85"/>
      <c r="C117" s="84"/>
      <c r="D117" s="86"/>
      <c r="E117" s="86"/>
      <c r="F117" s="86"/>
      <c r="G117" s="86"/>
      <c r="H117" s="85"/>
      <c r="I117" s="85"/>
      <c r="J117" s="85"/>
      <c r="K117" s="85"/>
      <c r="L117" s="85"/>
      <c r="M117" s="85"/>
      <c r="N117" s="85"/>
      <c r="O117" s="108"/>
    </row>
    <row r="118" spans="1:15">
      <c r="A118" s="84"/>
      <c r="B118" s="85"/>
      <c r="C118" s="84"/>
      <c r="D118" s="86"/>
      <c r="E118" s="86"/>
      <c r="F118" s="86"/>
      <c r="G118" s="86"/>
      <c r="H118" s="85"/>
      <c r="I118" s="85"/>
      <c r="J118" s="85"/>
      <c r="K118" s="85"/>
      <c r="L118" s="85"/>
      <c r="M118" s="85"/>
      <c r="N118" s="85"/>
      <c r="O118" s="108"/>
    </row>
    <row r="119" spans="1:15">
      <c r="A119" s="84"/>
      <c r="B119" s="85"/>
      <c r="C119" s="84"/>
      <c r="D119" s="86"/>
      <c r="E119" s="86"/>
      <c r="F119" s="86"/>
      <c r="G119" s="86"/>
      <c r="H119" s="85"/>
      <c r="I119" s="85"/>
      <c r="J119" s="85"/>
      <c r="K119" s="85"/>
      <c r="L119" s="85"/>
      <c r="M119" s="85"/>
      <c r="N119" s="85"/>
      <c r="O119" s="108"/>
    </row>
    <row r="120" spans="1:15">
      <c r="A120" s="84"/>
      <c r="B120" s="85"/>
      <c r="C120" s="84"/>
      <c r="D120" s="86"/>
      <c r="E120" s="86"/>
      <c r="F120" s="86"/>
      <c r="G120" s="86"/>
      <c r="H120" s="85"/>
      <c r="I120" s="85"/>
      <c r="J120" s="85"/>
      <c r="K120" s="85"/>
      <c r="L120" s="85"/>
      <c r="M120" s="85"/>
      <c r="N120" s="85"/>
      <c r="O120" s="108"/>
    </row>
    <row r="121" spans="1:15">
      <c r="A121" s="84"/>
      <c r="B121" s="85"/>
      <c r="C121" s="84"/>
      <c r="D121" s="86"/>
      <c r="E121" s="86"/>
      <c r="F121" s="86"/>
      <c r="G121" s="86"/>
      <c r="H121" s="85"/>
      <c r="I121" s="85"/>
      <c r="J121" s="85"/>
      <c r="K121" s="85"/>
      <c r="L121" s="85"/>
      <c r="M121" s="85"/>
      <c r="N121" s="85"/>
      <c r="O121" s="108"/>
    </row>
    <row r="122" spans="1:15">
      <c r="A122" s="84"/>
      <c r="B122" s="85"/>
      <c r="C122" s="84"/>
      <c r="D122" s="86"/>
      <c r="E122" s="86"/>
      <c r="F122" s="86"/>
      <c r="G122" s="86"/>
      <c r="H122" s="85"/>
      <c r="I122" s="85"/>
      <c r="J122" s="85"/>
      <c r="K122" s="85"/>
      <c r="L122" s="85"/>
      <c r="M122" s="85"/>
      <c r="N122" s="85"/>
      <c r="O122" s="108"/>
    </row>
    <row r="123" spans="1:15">
      <c r="A123" s="84"/>
      <c r="B123" s="85"/>
      <c r="C123" s="84"/>
      <c r="D123" s="86"/>
      <c r="E123" s="86"/>
      <c r="F123" s="86"/>
      <c r="G123" s="86"/>
      <c r="H123" s="85"/>
      <c r="I123" s="85"/>
      <c r="J123" s="85"/>
      <c r="K123" s="85"/>
      <c r="L123" s="85"/>
      <c r="M123" s="85"/>
      <c r="N123" s="85"/>
      <c r="O123" s="108"/>
    </row>
    <row r="124" spans="1:15">
      <c r="A124" s="84"/>
      <c r="B124" s="85"/>
      <c r="C124" s="84"/>
      <c r="D124" s="86"/>
      <c r="E124" s="86"/>
      <c r="F124" s="86"/>
      <c r="G124" s="86"/>
      <c r="H124" s="85"/>
      <c r="I124" s="85"/>
      <c r="J124" s="85"/>
      <c r="K124" s="85"/>
      <c r="L124" s="85"/>
      <c r="M124" s="85"/>
      <c r="N124" s="85"/>
      <c r="O124" s="108"/>
    </row>
    <row r="125" spans="1:15">
      <c r="A125" s="84"/>
      <c r="B125" s="85"/>
      <c r="C125" s="84"/>
      <c r="D125" s="86"/>
      <c r="E125" s="86"/>
      <c r="F125" s="86"/>
      <c r="G125" s="86"/>
      <c r="H125" s="85"/>
      <c r="I125" s="85"/>
      <c r="J125" s="85"/>
      <c r="K125" s="85"/>
      <c r="L125" s="85"/>
      <c r="M125" s="85"/>
      <c r="N125" s="85"/>
      <c r="O125" s="108"/>
    </row>
    <row r="126" spans="1:15">
      <c r="A126" s="84"/>
      <c r="B126" s="85"/>
      <c r="C126" s="84"/>
      <c r="D126" s="86"/>
      <c r="E126" s="86"/>
      <c r="F126" s="86"/>
      <c r="G126" s="86"/>
      <c r="H126" s="85"/>
      <c r="I126" s="85"/>
      <c r="J126" s="85"/>
      <c r="K126" s="85"/>
      <c r="L126" s="85"/>
      <c r="M126" s="85"/>
      <c r="N126" s="85"/>
      <c r="O126" s="108"/>
    </row>
    <row r="127" spans="1:15">
      <c r="A127" s="84"/>
      <c r="B127" s="85"/>
      <c r="C127" s="84"/>
      <c r="D127" s="86"/>
      <c r="E127" s="86"/>
      <c r="F127" s="86"/>
      <c r="G127" s="86"/>
      <c r="H127" s="85"/>
      <c r="I127" s="85"/>
      <c r="J127" s="85"/>
      <c r="K127" s="85"/>
      <c r="L127" s="85"/>
      <c r="M127" s="85"/>
      <c r="N127" s="85"/>
      <c r="O127" s="108"/>
    </row>
    <row r="128" spans="1:15">
      <c r="A128" s="84"/>
      <c r="B128" s="85"/>
      <c r="C128" s="84"/>
      <c r="D128" s="86"/>
      <c r="E128" s="86"/>
      <c r="F128" s="86"/>
      <c r="G128" s="86"/>
      <c r="H128" s="85"/>
      <c r="I128" s="85"/>
      <c r="J128" s="85"/>
      <c r="K128" s="85"/>
      <c r="L128" s="85"/>
      <c r="M128" s="85"/>
      <c r="N128" s="85"/>
      <c r="O128" s="108"/>
    </row>
    <row r="129" spans="1:15">
      <c r="A129" s="84"/>
      <c r="B129" s="85"/>
      <c r="C129" s="84"/>
      <c r="D129" s="86"/>
      <c r="E129" s="86"/>
      <c r="F129" s="86"/>
      <c r="G129" s="86"/>
      <c r="H129" s="85"/>
      <c r="I129" s="85"/>
      <c r="J129" s="85"/>
      <c r="K129" s="85"/>
      <c r="L129" s="85"/>
      <c r="M129" s="85"/>
      <c r="N129" s="85"/>
      <c r="O129" s="108"/>
    </row>
    <row r="130" spans="1:15">
      <c r="A130" s="84"/>
      <c r="B130" s="85"/>
      <c r="C130" s="84"/>
      <c r="D130" s="86"/>
      <c r="E130" s="86"/>
      <c r="F130" s="86"/>
      <c r="G130" s="86"/>
      <c r="H130" s="85"/>
      <c r="I130" s="85"/>
      <c r="J130" s="85"/>
      <c r="K130" s="85"/>
      <c r="L130" s="85"/>
      <c r="M130" s="85"/>
      <c r="N130" s="85"/>
      <c r="O130" s="108"/>
    </row>
    <row r="131" spans="1:15">
      <c r="A131" s="84"/>
      <c r="B131" s="85"/>
      <c r="C131" s="84"/>
      <c r="D131" s="86"/>
      <c r="E131" s="86"/>
      <c r="F131" s="86"/>
      <c r="G131" s="86"/>
      <c r="H131" s="85"/>
      <c r="I131" s="85"/>
      <c r="J131" s="85"/>
      <c r="K131" s="85"/>
      <c r="L131" s="85"/>
      <c r="M131" s="85"/>
      <c r="N131" s="85"/>
      <c r="O131" s="108"/>
    </row>
    <row r="132" spans="1:15">
      <c r="A132" s="84"/>
      <c r="B132" s="85"/>
      <c r="C132" s="84"/>
      <c r="D132" s="86"/>
      <c r="E132" s="86"/>
      <c r="F132" s="86"/>
      <c r="G132" s="86"/>
      <c r="H132" s="85"/>
      <c r="I132" s="85"/>
      <c r="J132" s="85"/>
      <c r="K132" s="85"/>
      <c r="L132" s="85"/>
      <c r="M132" s="85"/>
      <c r="N132" s="85"/>
      <c r="O132" s="108"/>
    </row>
    <row r="133" spans="1:15">
      <c r="A133" s="84"/>
      <c r="B133" s="85"/>
      <c r="C133" s="84"/>
      <c r="D133" s="86"/>
      <c r="E133" s="86"/>
      <c r="F133" s="86"/>
      <c r="G133" s="86"/>
      <c r="H133" s="85"/>
      <c r="I133" s="85"/>
      <c r="J133" s="85"/>
      <c r="K133" s="85"/>
      <c r="L133" s="85"/>
      <c r="M133" s="85"/>
      <c r="N133" s="85"/>
      <c r="O133" s="108"/>
    </row>
    <row r="134" spans="1:15">
      <c r="A134" s="84"/>
      <c r="B134" s="85"/>
      <c r="C134" s="84"/>
      <c r="D134" s="86"/>
      <c r="E134" s="86"/>
      <c r="F134" s="86"/>
      <c r="G134" s="86"/>
      <c r="H134" s="85"/>
      <c r="I134" s="85"/>
      <c r="J134" s="85"/>
      <c r="K134" s="85"/>
      <c r="L134" s="85"/>
      <c r="M134" s="85"/>
      <c r="N134" s="85"/>
      <c r="O134" s="108"/>
    </row>
    <row r="135" spans="1:15">
      <c r="A135" s="84"/>
      <c r="B135" s="85"/>
      <c r="C135" s="84"/>
      <c r="D135" s="86"/>
      <c r="E135" s="86"/>
      <c r="F135" s="86"/>
      <c r="G135" s="86"/>
      <c r="H135" s="85"/>
      <c r="I135" s="85"/>
      <c r="J135" s="85"/>
      <c r="K135" s="85"/>
      <c r="L135" s="85"/>
      <c r="M135" s="85"/>
      <c r="N135" s="85"/>
      <c r="O135" s="108"/>
    </row>
    <row r="136" spans="1:15">
      <c r="A136" s="84"/>
      <c r="B136" s="85"/>
      <c r="C136" s="84"/>
      <c r="D136" s="86"/>
      <c r="E136" s="86"/>
      <c r="F136" s="86"/>
      <c r="G136" s="86"/>
      <c r="H136" s="85"/>
      <c r="I136" s="85"/>
      <c r="J136" s="85"/>
      <c r="K136" s="85"/>
      <c r="L136" s="85"/>
      <c r="M136" s="85"/>
      <c r="N136" s="85"/>
      <c r="O136" s="108"/>
    </row>
    <row r="137" spans="1:15">
      <c r="A137" s="84"/>
      <c r="B137" s="85"/>
      <c r="C137" s="84"/>
      <c r="D137" s="86"/>
      <c r="E137" s="86"/>
      <c r="F137" s="86"/>
      <c r="G137" s="86"/>
      <c r="H137" s="85"/>
      <c r="I137" s="85"/>
      <c r="J137" s="85"/>
      <c r="K137" s="85"/>
      <c r="L137" s="85"/>
      <c r="M137" s="85"/>
      <c r="N137" s="85"/>
      <c r="O137" s="108"/>
    </row>
    <row r="138" spans="1:15">
      <c r="A138" s="84"/>
      <c r="B138" s="85"/>
      <c r="C138" s="84"/>
      <c r="D138" s="86"/>
      <c r="E138" s="86"/>
      <c r="F138" s="86"/>
      <c r="G138" s="86"/>
      <c r="H138" s="85"/>
      <c r="I138" s="85"/>
      <c r="J138" s="85"/>
      <c r="K138" s="85"/>
      <c r="L138" s="85"/>
      <c r="M138" s="85"/>
      <c r="N138" s="85"/>
      <c r="O138" s="108"/>
    </row>
    <row r="139" spans="1:15">
      <c r="A139" s="84"/>
      <c r="B139" s="85"/>
      <c r="C139" s="84"/>
      <c r="D139" s="86"/>
      <c r="E139" s="86"/>
      <c r="F139" s="86"/>
      <c r="G139" s="86"/>
      <c r="H139" s="85"/>
      <c r="I139" s="85"/>
      <c r="J139" s="85"/>
      <c r="K139" s="85"/>
      <c r="L139" s="85"/>
      <c r="M139" s="85"/>
      <c r="N139" s="85"/>
      <c r="O139" s="108"/>
    </row>
    <row r="140" spans="1:15">
      <c r="A140" s="84"/>
      <c r="B140" s="85"/>
      <c r="C140" s="84"/>
      <c r="D140" s="86"/>
      <c r="E140" s="86"/>
      <c r="F140" s="86"/>
      <c r="G140" s="86"/>
      <c r="H140" s="85"/>
      <c r="I140" s="85"/>
      <c r="J140" s="85"/>
      <c r="K140" s="85"/>
      <c r="L140" s="85"/>
      <c r="M140" s="85"/>
      <c r="N140" s="85"/>
      <c r="O140" s="108"/>
    </row>
  </sheetData>
  <mergeCells count="31">
    <mergeCell ref="B97:N97"/>
    <mergeCell ref="M12:N13"/>
    <mergeCell ref="F13:H13"/>
    <mergeCell ref="A15:A17"/>
    <mergeCell ref="B15:B17"/>
    <mergeCell ref="C15:F16"/>
    <mergeCell ref="M15:N16"/>
    <mergeCell ref="B70:C70"/>
    <mergeCell ref="B85:C85"/>
    <mergeCell ref="B87:C87"/>
    <mergeCell ref="B89:C89"/>
    <mergeCell ref="B91:C91"/>
    <mergeCell ref="A10:A13"/>
    <mergeCell ref="M4:N11"/>
    <mergeCell ref="G15:L15"/>
    <mergeCell ref="G16:I16"/>
    <mergeCell ref="A1:B9"/>
    <mergeCell ref="C1:L1"/>
    <mergeCell ref="F2:H2"/>
    <mergeCell ref="F3:H3"/>
    <mergeCell ref="F4:H4"/>
    <mergeCell ref="F5:H5"/>
    <mergeCell ref="F6:H6"/>
    <mergeCell ref="F7:H7"/>
    <mergeCell ref="F8:H8"/>
    <mergeCell ref="F9:H9"/>
    <mergeCell ref="J16:L16"/>
    <mergeCell ref="B10:B13"/>
    <mergeCell ref="F10:H10"/>
    <mergeCell ref="F11:H11"/>
    <mergeCell ref="F12:H12"/>
  </mergeCells>
  <conditionalFormatting sqref="F11:H11">
    <cfRule type="expression" dxfId="126" priority="18">
      <formula>$F$11&gt;0</formula>
    </cfRule>
  </conditionalFormatting>
  <conditionalFormatting sqref="F12:H12">
    <cfRule type="expression" dxfId="125" priority="17">
      <formula>$F$12&gt;0</formula>
    </cfRule>
  </conditionalFormatting>
  <conditionalFormatting sqref="F13:H13">
    <cfRule type="expression" dxfId="124" priority="16">
      <formula>$F$13&gt;0</formula>
    </cfRule>
  </conditionalFormatting>
  <conditionalFormatting sqref="L3">
    <cfRule type="expression" dxfId="123" priority="15">
      <formula>$L$3&gt;0</formula>
    </cfRule>
  </conditionalFormatting>
  <conditionalFormatting sqref="L4">
    <cfRule type="expression" dxfId="122" priority="14">
      <formula>$L$4&gt;0</formula>
    </cfRule>
  </conditionalFormatting>
  <conditionalFormatting sqref="L5">
    <cfRule type="expression" dxfId="121" priority="13">
      <formula>$L$5&gt;0</formula>
    </cfRule>
  </conditionalFormatting>
  <conditionalFormatting sqref="L6">
    <cfRule type="expression" dxfId="120" priority="12">
      <formula>$L$6&gt;0</formula>
    </cfRule>
  </conditionalFormatting>
  <conditionalFormatting sqref="L7">
    <cfRule type="expression" dxfId="119" priority="11">
      <formula>$L$7&gt;0</formula>
    </cfRule>
  </conditionalFormatting>
  <conditionalFormatting sqref="L8">
    <cfRule type="expression" dxfId="118" priority="10">
      <formula>$L$8&gt;0</formula>
    </cfRule>
  </conditionalFormatting>
  <conditionalFormatting sqref="L9">
    <cfRule type="expression" dxfId="117" priority="9">
      <formula>$L$9&gt;0</formula>
    </cfRule>
  </conditionalFormatting>
  <conditionalFormatting sqref="L10">
    <cfRule type="expression" dxfId="116" priority="7">
      <formula>$L$10&gt;0</formula>
    </cfRule>
    <cfRule type="expression" dxfId="115" priority="8">
      <formula>$L$10&gt;0</formula>
    </cfRule>
  </conditionalFormatting>
  <conditionalFormatting sqref="L11">
    <cfRule type="expression" dxfId="114" priority="6">
      <formula>$L$11&gt;0</formula>
    </cfRule>
  </conditionalFormatting>
  <conditionalFormatting sqref="L12">
    <cfRule type="expression" dxfId="113" priority="5">
      <formula>$L$12&gt;0</formula>
    </cfRule>
  </conditionalFormatting>
  <conditionalFormatting sqref="F4:H4">
    <cfRule type="expression" dxfId="112" priority="4">
      <formula>$F$4=" "</formula>
    </cfRule>
  </conditionalFormatting>
  <conditionalFormatting sqref="F6:H6">
    <cfRule type="expression" dxfId="111" priority="3">
      <formula>$F$6=" "</formula>
    </cfRule>
  </conditionalFormatting>
  <conditionalFormatting sqref="K63">
    <cfRule type="expression" dxfId="110" priority="2">
      <formula>K63&gt;H63</formula>
    </cfRule>
  </conditionalFormatting>
  <conditionalFormatting sqref="K80">
    <cfRule type="expression" dxfId="109" priority="1">
      <formula>K80&gt;H80</formula>
    </cfRule>
  </conditionalFormatting>
  <printOptions horizontalCentered="1"/>
  <pageMargins left="0.43307086614173229" right="0.43307086614173229" top="0.59055118110236227" bottom="0.59055118110236227" header="0.31496062992125984" footer="0.31496062992125984"/>
  <pageSetup scale="64" orientation="landscape" r:id="rId1"/>
  <headerFooter>
    <oddFooter>&amp;C&amp;"-,Cursiva"&amp;10&amp;A&amp;R&amp;"-,Cursiva"&amp;10Página &amp;P de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dimension ref="A1:P167"/>
  <sheetViews>
    <sheetView topLeftCell="A91" zoomScaleNormal="100" workbookViewId="0">
      <selection activeCell="G49" sqref="G49:G61"/>
    </sheetView>
  </sheetViews>
  <sheetFormatPr baseColWidth="10" defaultColWidth="13.7109375" defaultRowHeight="12"/>
  <cols>
    <col min="1" max="1" width="7.7109375" style="81" customWidth="1"/>
    <col min="2" max="2" width="54.5703125" style="82" customWidth="1"/>
    <col min="3" max="3" width="5.7109375" style="81" customWidth="1"/>
    <col min="4" max="4" width="9.140625" style="83" customWidth="1"/>
    <col min="5" max="5" width="14.7109375" style="83" customWidth="1"/>
    <col min="6" max="6" width="15.85546875" style="83" customWidth="1"/>
    <col min="7" max="7" width="13.42578125" style="82" customWidth="1"/>
    <col min="8" max="8" width="14.7109375" style="82" customWidth="1"/>
    <col min="9" max="9" width="11.5703125" style="82" customWidth="1"/>
    <col min="10" max="10" width="19.7109375" style="82" customWidth="1"/>
    <col min="11" max="11" width="15.28515625" style="82" customWidth="1"/>
    <col min="12" max="12" width="16.42578125" style="82" bestFit="1" customWidth="1"/>
    <col min="13" max="13" width="4.7109375" style="82" customWidth="1"/>
    <col min="14" max="16384" width="13.7109375" style="82"/>
  </cols>
  <sheetData>
    <row r="1" spans="1:14" ht="14.45" customHeight="1">
      <c r="A1" s="1049" t="s">
        <v>246</v>
      </c>
      <c r="B1" s="1050"/>
      <c r="C1" s="1051" t="str">
        <f>"MUNICIPIO DE "&amp;DATOS!E8</f>
        <v xml:space="preserve">MUNICIPIO DE </v>
      </c>
      <c r="D1" s="1052"/>
      <c r="E1" s="1052"/>
      <c r="F1" s="1052"/>
      <c r="G1" s="1052"/>
      <c r="H1" s="1052"/>
      <c r="I1" s="1052"/>
      <c r="J1" s="1052"/>
      <c r="K1" s="129" t="s">
        <v>90</v>
      </c>
      <c r="L1" s="130" t="s">
        <v>1152</v>
      </c>
    </row>
    <row r="2" spans="1:14" ht="12" customHeight="1">
      <c r="A2" s="1050"/>
      <c r="B2" s="1050"/>
      <c r="C2" s="103" t="str">
        <f>DATOS!E10&amp;" No.:"</f>
        <v xml:space="preserve"> No.:</v>
      </c>
      <c r="D2" s="104"/>
      <c r="E2" s="105"/>
      <c r="F2" s="1053" t="str">
        <f>DATOS!E12&amp;" "&amp;DATOS!G12&amp;" "&amp;DATOS!I12</f>
        <v xml:space="preserve">  </v>
      </c>
      <c r="G2" s="1055"/>
      <c r="H2" s="103" t="s">
        <v>184</v>
      </c>
      <c r="I2" s="105"/>
      <c r="J2" s="109">
        <f>DATOS!E52</f>
        <v>0</v>
      </c>
      <c r="K2" s="129" t="s">
        <v>89</v>
      </c>
      <c r="L2" s="130" t="s">
        <v>248</v>
      </c>
    </row>
    <row r="3" spans="1:14" ht="12" customHeight="1">
      <c r="A3" s="1050"/>
      <c r="B3" s="1050"/>
      <c r="C3" s="98" t="s">
        <v>4</v>
      </c>
      <c r="D3" s="99"/>
      <c r="E3" s="100"/>
      <c r="F3" s="1053">
        <f>DATOS!G16</f>
        <v>0</v>
      </c>
      <c r="G3" s="1055"/>
      <c r="H3" s="103" t="s">
        <v>236</v>
      </c>
      <c r="I3" s="105"/>
      <c r="J3" s="110">
        <f>DATOS!E72</f>
        <v>42428</v>
      </c>
      <c r="K3" s="129" t="s">
        <v>247</v>
      </c>
      <c r="L3" s="395">
        <v>42646</v>
      </c>
    </row>
    <row r="4" spans="1:14" ht="12" customHeight="1">
      <c r="A4" s="1050"/>
      <c r="B4" s="1050"/>
      <c r="C4" s="98" t="s">
        <v>5</v>
      </c>
      <c r="D4" s="99"/>
      <c r="E4" s="100"/>
      <c r="F4" s="1053" t="str">
        <f>IF(DATOS!E16="Persona Jurídica",DATOS!G20," ")</f>
        <v xml:space="preserve"> </v>
      </c>
      <c r="G4" s="1055"/>
      <c r="H4" s="103" t="s">
        <v>241</v>
      </c>
      <c r="I4" s="105"/>
      <c r="J4" s="106">
        <f>DATOS!E74</f>
        <v>42459</v>
      </c>
      <c r="K4" s="1156" t="str">
        <f>"ACTA "&amp;IF(DATOS!E142&gt;0,IF(DATOS!E144&gt;0,IF(DATOS!E146&gt;0,IF(DATOS!E148&gt;0,IF(DATOS!E150&gt;0,IF(DATOS!E152&gt;0,IF(DATOS!E154&gt;0,IF(DATOS!E156&gt;0,IF(DATOS!E158&gt;0,IF(DATOS!E160&gt;0,"No.11","No.10"),"No.9"),"No.8"),"No.7"),"No.6"),"No.5"),"No.4"),"No.3"),"No.2"),"ÚNICA")&amp;" Y FINAL"</f>
        <v>ACTA ÚNICA Y FINAL</v>
      </c>
      <c r="L4" s="1157"/>
    </row>
    <row r="5" spans="1:14" ht="12" customHeight="1">
      <c r="A5" s="1050"/>
      <c r="B5" s="1050"/>
      <c r="C5" s="98" t="s">
        <v>105</v>
      </c>
      <c r="D5" s="99"/>
      <c r="E5" s="100"/>
      <c r="F5" s="1053">
        <f>LOOKUP(C5,DATOS!C24:C30,DATOS!G24:G30)</f>
        <v>0</v>
      </c>
      <c r="G5" s="1055"/>
      <c r="H5" s="103" t="s">
        <v>237</v>
      </c>
      <c r="I5" s="105"/>
      <c r="J5" s="106">
        <f>DATOS!E78</f>
        <v>42491</v>
      </c>
      <c r="K5" s="1156"/>
      <c r="L5" s="1157"/>
    </row>
    <row r="6" spans="1:14" ht="12" customHeight="1">
      <c r="A6" s="1050"/>
      <c r="B6" s="1050"/>
      <c r="C6" s="98" t="s">
        <v>5</v>
      </c>
      <c r="D6" s="99"/>
      <c r="E6" s="100"/>
      <c r="F6" s="1053" t="str">
        <f>IF(DATOS!E24="Persona Jurídica",DATOS!G28," ")</f>
        <v xml:space="preserve"> </v>
      </c>
      <c r="G6" s="1055"/>
      <c r="H6" s="103" t="s">
        <v>242</v>
      </c>
      <c r="I6" s="105"/>
      <c r="J6" s="106">
        <f>DATOS!E80</f>
        <v>42916</v>
      </c>
      <c r="K6" s="1156"/>
      <c r="L6" s="1157"/>
    </row>
    <row r="7" spans="1:14" ht="12" customHeight="1">
      <c r="A7" s="1050"/>
      <c r="B7" s="1050"/>
      <c r="C7" s="98" t="s">
        <v>185</v>
      </c>
      <c r="D7" s="99"/>
      <c r="E7" s="100"/>
      <c r="F7" s="1041">
        <f>DATOS!E46</f>
        <v>0</v>
      </c>
      <c r="G7" s="1043"/>
      <c r="H7" s="103" t="s">
        <v>238</v>
      </c>
      <c r="I7" s="105"/>
      <c r="J7" s="106">
        <f>DATOS!E84</f>
        <v>42541</v>
      </c>
      <c r="K7" s="1156"/>
      <c r="L7" s="1157"/>
      <c r="N7" s="82" t="s">
        <v>1141</v>
      </c>
    </row>
    <row r="8" spans="1:14" ht="12" customHeight="1">
      <c r="A8" s="1050"/>
      <c r="B8" s="1050"/>
      <c r="C8" s="98" t="s">
        <v>77</v>
      </c>
      <c r="D8" s="99"/>
      <c r="E8" s="100"/>
      <c r="F8" s="1041">
        <f>DATOS!E60</f>
        <v>30000000</v>
      </c>
      <c r="G8" s="1043"/>
      <c r="H8" s="103" t="s">
        <v>243</v>
      </c>
      <c r="I8" s="105"/>
      <c r="J8" s="106">
        <f>DATOS!E86</f>
        <v>42546</v>
      </c>
      <c r="K8" s="1156"/>
      <c r="L8" s="1157"/>
    </row>
    <row r="9" spans="1:14" ht="12" customHeight="1">
      <c r="A9" s="1050"/>
      <c r="B9" s="1050"/>
      <c r="C9" s="98" t="s">
        <v>78</v>
      </c>
      <c r="D9" s="99"/>
      <c r="E9" s="100"/>
      <c r="F9" s="1041">
        <f>DATOS!E62</f>
        <v>0</v>
      </c>
      <c r="G9" s="1043"/>
      <c r="H9" s="103" t="s">
        <v>239</v>
      </c>
      <c r="I9" s="105"/>
      <c r="J9" s="106">
        <f>DATOS!E90</f>
        <v>0</v>
      </c>
      <c r="K9" s="1156"/>
      <c r="L9" s="1157"/>
    </row>
    <row r="10" spans="1:14" ht="12" customHeight="1">
      <c r="A10" s="1044" t="s">
        <v>8</v>
      </c>
      <c r="B10" s="1045">
        <f>DATOS!E38</f>
        <v>0</v>
      </c>
      <c r="C10" s="98" t="s">
        <v>186</v>
      </c>
      <c r="D10" s="99"/>
      <c r="E10" s="100"/>
      <c r="F10" s="1041">
        <f>F7+F8+F9</f>
        <v>30000000</v>
      </c>
      <c r="G10" s="1043"/>
      <c r="H10" s="103" t="s">
        <v>244</v>
      </c>
      <c r="I10" s="105"/>
      <c r="J10" s="106">
        <f>DATOS!E92</f>
        <v>0</v>
      </c>
      <c r="K10" s="1156"/>
      <c r="L10" s="1157"/>
    </row>
    <row r="11" spans="1:14" ht="12" customHeight="1">
      <c r="A11" s="1044"/>
      <c r="B11" s="1045"/>
      <c r="C11" s="98" t="s">
        <v>233</v>
      </c>
      <c r="D11" s="99"/>
      <c r="E11" s="100"/>
      <c r="F11" s="1046">
        <f>DATOS!E174</f>
        <v>42602</v>
      </c>
      <c r="G11" s="1048"/>
      <c r="H11" s="103" t="s">
        <v>240</v>
      </c>
      <c r="I11" s="105"/>
      <c r="J11" s="106"/>
      <c r="K11" s="1158"/>
      <c r="L11" s="1159"/>
    </row>
    <row r="12" spans="1:14" ht="12" customHeight="1">
      <c r="A12" s="1044"/>
      <c r="B12" s="1045"/>
      <c r="C12" s="98" t="s">
        <v>234</v>
      </c>
      <c r="D12" s="99"/>
      <c r="E12" s="100"/>
      <c r="F12" s="1046">
        <f>DATOS!E176</f>
        <v>0</v>
      </c>
      <c r="G12" s="1048"/>
      <c r="H12" s="103" t="s">
        <v>245</v>
      </c>
      <c r="I12" s="105"/>
      <c r="J12" s="106"/>
      <c r="K12" s="1073">
        <f>DATOS!E162</f>
        <v>0</v>
      </c>
      <c r="L12" s="1074"/>
    </row>
    <row r="13" spans="1:14" ht="12" customHeight="1">
      <c r="A13" s="1044"/>
      <c r="B13" s="1045"/>
      <c r="C13" s="98" t="s">
        <v>235</v>
      </c>
      <c r="D13" s="99"/>
      <c r="E13" s="100"/>
      <c r="F13" s="1046">
        <f>DATOS!E178</f>
        <v>0</v>
      </c>
      <c r="G13" s="1048"/>
      <c r="H13" s="103" t="s">
        <v>72</v>
      </c>
      <c r="I13" s="105"/>
      <c r="J13" s="107">
        <f>DATOS!E132</f>
        <v>614</v>
      </c>
      <c r="K13" s="1075"/>
      <c r="L13" s="1076"/>
    </row>
    <row r="14" spans="1:14">
      <c r="A14" s="84"/>
      <c r="B14" s="85"/>
      <c r="C14" s="84"/>
      <c r="D14" s="86"/>
      <c r="E14" s="86"/>
      <c r="F14" s="86"/>
      <c r="G14" s="85"/>
      <c r="H14" s="85"/>
      <c r="I14" s="85"/>
      <c r="J14" s="85"/>
      <c r="K14" s="85"/>
      <c r="L14" s="85"/>
    </row>
    <row r="15" spans="1:14">
      <c r="A15" s="1040" t="s">
        <v>181</v>
      </c>
      <c r="B15" s="1040" t="s">
        <v>115</v>
      </c>
      <c r="C15" s="1147" t="s">
        <v>182</v>
      </c>
      <c r="D15" s="1148"/>
      <c r="E15" s="1148"/>
      <c r="F15" s="1149"/>
      <c r="G15" s="1139" t="s">
        <v>187</v>
      </c>
      <c r="H15" s="1140"/>
      <c r="I15" s="1141" t="s">
        <v>188</v>
      </c>
      <c r="J15" s="1142"/>
      <c r="K15" s="1155" t="s">
        <v>189</v>
      </c>
      <c r="L15" s="1155"/>
    </row>
    <row r="16" spans="1:14">
      <c r="A16" s="1040"/>
      <c r="B16" s="1040"/>
      <c r="C16" s="321" t="s">
        <v>164</v>
      </c>
      <c r="D16" s="96" t="s">
        <v>118</v>
      </c>
      <c r="E16" s="96" t="s">
        <v>180</v>
      </c>
      <c r="F16" s="96" t="s">
        <v>117</v>
      </c>
      <c r="G16" s="101" t="s">
        <v>317</v>
      </c>
      <c r="H16" s="101" t="s">
        <v>117</v>
      </c>
      <c r="I16" s="131" t="s">
        <v>317</v>
      </c>
      <c r="J16" s="131" t="s">
        <v>117</v>
      </c>
      <c r="K16" s="865" t="s">
        <v>317</v>
      </c>
      <c r="L16" s="865" t="s">
        <v>117</v>
      </c>
    </row>
    <row r="17" spans="1:16">
      <c r="A17" s="87" t="str">
        <f>IF(LOOKUP(M17,PPTO!$J$8:$J$269,PPTO!A$8:A$269)=0," ",LOOKUP(M17,PPTO!$J$8:$J$269,PPTO!A$8:A$269))</f>
        <v xml:space="preserve"> </v>
      </c>
      <c r="B17" s="88" t="str">
        <f>IF(LOOKUP(M17,PPTO!$J$8:J$269,PPTO!B$8:B$269)=0," ",LOOKUP(M17,PPTO!$J$8:J$269,PPTO!B$8:B$269))</f>
        <v xml:space="preserve"> </v>
      </c>
      <c r="C17" s="89" t="str">
        <f>IF(LOOKUP(M17,PPTO!$J$8:$J$269,PPTO!D$8:D$269)=0," ",LOOKUP(M17,PPTO!$J$8:$J$269,PPTO!D$8:D$269))</f>
        <v xml:space="preserve"> </v>
      </c>
      <c r="D17" s="90" t="str">
        <f>IF(LOOKUP(M17,PPTO!$J$8:$J$269,PPTO!D$8:D$269)=0," ",LOOKUP(M17,PPTO!$J$8:$J$269,PPTO!D$8:D$269))</f>
        <v xml:space="preserve"> </v>
      </c>
      <c r="E17" s="90" t="str">
        <f>IF(LOOKUP(M17,PPTO!$J$8:$J$269,PPTO!E$8:E$269)=0," ",LOOKUP(M17,PPTO!$J$8:$J$269,PPTO!E$8:E$269))</f>
        <v xml:space="preserve"> </v>
      </c>
      <c r="F17" s="90" t="str">
        <f>IF(LOOKUP(M17,PPTO!$J$8:$J$269,PPTO!F$8:F$269)=0," ",LOOKUP(M17,PPTO!$J$8:$J$269,PPTO!F$8:F$269))</f>
        <v xml:space="preserve"> </v>
      </c>
      <c r="G17" s="178"/>
      <c r="H17" s="102"/>
      <c r="I17" s="174"/>
      <c r="J17" s="102"/>
      <c r="K17" s="102"/>
      <c r="L17" s="102"/>
      <c r="M17" s="108">
        <v>1</v>
      </c>
    </row>
    <row r="18" spans="1:16">
      <c r="A18" s="87" t="str">
        <f>IF(LOOKUP(M18,PPTO!$J$8:$J$269,PPTO!A$8:A$269)=0," ",LOOKUP(M18,PPTO!$J$8:$J$269,PPTO!A$8:A$269))</f>
        <v xml:space="preserve"> </v>
      </c>
      <c r="B18" s="88" t="str">
        <f>IF(LOOKUP(M18,PPTO!$J$8:J$269,PPTO!B$8:B$269)=0," ",LOOKUP(M18,PPTO!$J$8:J$269,PPTO!B$8:B$269))</f>
        <v>PRESUPUESTO OBRA CIVIL</v>
      </c>
      <c r="C18" s="89" t="str">
        <f>IF(LOOKUP(M18,PPTO!$J$8:$J$269,PPTO!D$8:D$269)=0," ",LOOKUP(M18,PPTO!$J$8:$J$269,PPTO!D$8:D$269))</f>
        <v xml:space="preserve"> </v>
      </c>
      <c r="D18" s="90" t="str">
        <f>IF(LOOKUP(M18,PPTO!$J$8:$J$269,PPTO!D$8:D$269)=0," ",LOOKUP(M18,PPTO!$J$8:$J$269,PPTO!D$8:D$269))</f>
        <v xml:space="preserve"> </v>
      </c>
      <c r="E18" s="90" t="str">
        <f>IF(LOOKUP(M18,PPTO!$J$8:$J$269,PPTO!E$8:E$269)=0," ",LOOKUP(M18,PPTO!$J$8:$J$269,PPTO!E$8:E$269))</f>
        <v xml:space="preserve"> </v>
      </c>
      <c r="F18" s="90" t="str">
        <f>IF(LOOKUP(M18,PPTO!$J$8:$J$269,PPTO!H$8:H$269)=0," ",LOOKUP(M18,PPTO!$J$8:$J$269,PPTO!H$8:H$269))</f>
        <v xml:space="preserve"> </v>
      </c>
      <c r="G18" s="178"/>
      <c r="H18" s="102"/>
      <c r="I18" s="174"/>
      <c r="J18" s="102"/>
      <c r="K18" s="102"/>
      <c r="L18" s="102"/>
      <c r="M18" s="108">
        <f>M17+1</f>
        <v>2</v>
      </c>
    </row>
    <row r="19" spans="1:16">
      <c r="A19" s="92">
        <f>IF(LOOKUP(M19,PPTO!$J$8:$J$269,PPTO!A$8:A$269)=0," ",LOOKUP(M19,PPTO!$J$8:$J$269,PPTO!A$8:A$269))</f>
        <v>1</v>
      </c>
      <c r="B19" s="88" t="str">
        <f>IF(LOOKUP(M19,PPTO!$J$8:J$269,PPTO!B$8:B$269)=0," ",LOOKUP(M19,PPTO!$J$8:J$269,PPTO!B$8:B$269))</f>
        <v>PRELIMINARES</v>
      </c>
      <c r="C19" s="89" t="str">
        <f>IF(LOOKUP(M19,PPTO!$J$8:$J$269,PPTO!D$8:D$269)=0," ",LOOKUP(M19,PPTO!$J$8:$J$269,PPTO!D$8:D$269))</f>
        <v xml:space="preserve"> </v>
      </c>
      <c r="D19" s="90" t="str">
        <f>IF(LOOKUP(M19,PPTO!$J$8:$J$269,PPTO!E$8:E$269)=0," ",LOOKUP(M19,PPTO!$J$8:$J$269,PPTO!E$8:E$269))</f>
        <v xml:space="preserve"> </v>
      </c>
      <c r="E19" s="90" t="str">
        <f>IF(LOOKUP(M19,PPTO!$J$8:$J$269,PPTO!F$8:F$269)=0," ",LOOKUP(M19,PPTO!$J$8:$J$269,PPTO!F$8:F$269))</f>
        <v xml:space="preserve"> </v>
      </c>
      <c r="F19" s="90" t="str">
        <f>IF(LOOKUP(M19,PPTO!$J$8:$J$269,PPTO!H$8:H$269)=0," ",LOOKUP(M19,PPTO!$J$8:$J$269,PPTO!H$8:H$269))</f>
        <v xml:space="preserve"> </v>
      </c>
      <c r="G19" s="178"/>
      <c r="H19" s="102"/>
      <c r="I19" s="174"/>
      <c r="J19" s="102"/>
      <c r="K19" s="102"/>
      <c r="L19" s="102"/>
      <c r="M19" s="108">
        <f t="shared" ref="M19:M60" si="0">M18+1</f>
        <v>3</v>
      </c>
    </row>
    <row r="20" spans="1:16">
      <c r="A20" s="87" t="str">
        <f>IF(LOOKUP(M20,PPTO!$J$8:$J$269,PPTO!A$8:A$269)=0," ",LOOKUP(M20,PPTO!$J$8:$J$269,PPTO!A$8:A$269))</f>
        <v>1.02</v>
      </c>
      <c r="B20" s="91" t="str">
        <f>IF(LOOKUP(M20,PPTO!$J$8:J$269,PPTO!B$8:B$269)=0," ",LOOKUP(M20,PPTO!$J$8:J$269,PPTO!B$8:B$269))</f>
        <v xml:space="preserve"> </v>
      </c>
      <c r="C20" s="89" t="str">
        <f>IF(LOOKUP(M20,PPTO!$J$8:$J$269,PPTO!D$8:D$269)=0," ",LOOKUP(M20,PPTO!$J$8:$J$269,PPTO!D$8:D$269))</f>
        <v>ML</v>
      </c>
      <c r="D20" s="90" t="str">
        <f>IF(LOOKUP(M20,PPTO!$J$8:$J$269,PPTO!E$8:E$269)=0," ",LOOKUP(M20,PPTO!$J$8:$J$269,PPTO!E$8:E$269))</f>
        <v xml:space="preserve"> </v>
      </c>
      <c r="E20" s="90" t="str">
        <f>IF(LOOKUP(M20,PPTO!$J$8:$J$269,PPTO!F$8:F$269)=0," ",LOOKUP(M20,PPTO!$J$8:$J$269,PPTO!F$8:F$269))</f>
        <v xml:space="preserve"> </v>
      </c>
      <c r="F20" s="90" t="str">
        <f>IF(LOOKUP(M20,PPTO!$J$8:$J$269,PPTO!H$8:H$269)=0," ",LOOKUP(M20,PPTO!$J$8:$J$269,PPTO!H$8:H$269))</f>
        <v xml:space="preserve"> </v>
      </c>
      <c r="G20" s="178"/>
      <c r="H20" s="102" t="e">
        <f>ROUND(G20*E20,0)</f>
        <v>#VALUE!</v>
      </c>
      <c r="I20" s="174">
        <v>0</v>
      </c>
      <c r="J20" s="102" t="e">
        <f>ROUND(I20*E20,0)</f>
        <v>#VALUE!</v>
      </c>
      <c r="K20" s="102">
        <f>I20+IF(DATOS!$E$142&gt;0,IF(DATOS!$E$144&gt;0,IF(DATOS!$E$146&gt;0,IF(DATOS!$E$148&gt;0,IF(DATOS!$E$150&gt;0,IF(DATOS!$E$152&gt;0,IF(DATOS!$E$154&gt;0,IF(DATOS!$E$156&gt;0,IF(DATOS!$E$158&gt;0,IF(DATOS!$E$160&gt;0,'ACTA PARCIAL No.10'!K20,'ACTA PARCIAL No.9'!K20),'ACTA PARCIAL No.8'!K20),'ACTA PARCIAL No.7'!K20),'ACTA PARCIAL No.6'!K20),'ACTA PARCIAL No.5'!K20),'ACTA PARCIAL No.4'!K20),#REF!),#REF!),'ACTA PARCIAL No.1'!K20),0)</f>
        <v>0</v>
      </c>
      <c r="L20" s="102" t="e">
        <f>ROUND(K20*E20,0)</f>
        <v>#VALUE!</v>
      </c>
      <c r="M20" s="108">
        <f t="shared" si="0"/>
        <v>4</v>
      </c>
      <c r="O20" s="102"/>
    </row>
    <row r="21" spans="1:16">
      <c r="A21" s="87">
        <f>IF(LOOKUP(M21,PPTO!$J$8:$J$269,PPTO!A$8:A$269)=0," ",LOOKUP(M21,PPTO!$J$8:$J$269,PPTO!A$8:A$269))</f>
        <v>2</v>
      </c>
      <c r="B21" s="91" t="str">
        <f>IF(LOOKUP(M21,PPTO!$J$8:J$269,PPTO!B$8:B$269)=0," ",LOOKUP(M21,PPTO!$J$8:J$269,PPTO!B$8:B$269))</f>
        <v>DEMOLICION Y ROTURAS</v>
      </c>
      <c r="C21" s="89" t="str">
        <f>IF(LOOKUP(M21,PPTO!$J$8:$J$269,PPTO!D$8:D$269)=0," ",LOOKUP(M21,PPTO!$J$8:$J$269,PPTO!D$8:D$269))</f>
        <v xml:space="preserve"> </v>
      </c>
      <c r="D21" s="90" t="str">
        <f>IF(LOOKUP(M21,PPTO!$J$8:$J$269,PPTO!E$8:E$269)=0," ",LOOKUP(M21,PPTO!$J$8:$J$269,PPTO!E$8:E$269))</f>
        <v xml:space="preserve"> </v>
      </c>
      <c r="E21" s="90" t="str">
        <f>IF(LOOKUP(M21,PPTO!$J$8:$J$269,PPTO!F$8:F$269)=0," ",LOOKUP(M21,PPTO!$J$8:$J$269,PPTO!F$8:F$269))</f>
        <v xml:space="preserve"> </v>
      </c>
      <c r="F21" s="90" t="str">
        <f>IF(LOOKUP(M21,PPTO!$J$8:$J$269,PPTO!H$8:H$269)=0," ",LOOKUP(M21,PPTO!$J$8:$J$269,PPTO!H$8:H$269))</f>
        <v xml:space="preserve"> </v>
      </c>
      <c r="G21" s="178"/>
      <c r="H21" s="102"/>
      <c r="I21" s="174"/>
      <c r="J21" s="102"/>
      <c r="K21" s="102"/>
      <c r="L21" s="102"/>
      <c r="M21" s="108">
        <f t="shared" si="0"/>
        <v>5</v>
      </c>
      <c r="O21" s="102"/>
    </row>
    <row r="22" spans="1:16">
      <c r="A22" s="87" t="str">
        <f>IF(LOOKUP(M22,PPTO!$J$8:$J$269,PPTO!A$8:A$269)=0," ",LOOKUP(M22,PPTO!$J$8:$J$269,PPTO!A$8:A$269))</f>
        <v>2.01</v>
      </c>
      <c r="B22" s="91" t="str">
        <f>IF(LOOKUP(M22,PPTO!$J$8:J$269,PPTO!B$8:B$269)=0," ",LOOKUP(M22,PPTO!$J$8:J$269,PPTO!B$8:B$269))</f>
        <v xml:space="preserve"> </v>
      </c>
      <c r="C22" s="89" t="str">
        <f>IF(LOOKUP(M22,PPTO!$J$8:$J$269,PPTO!D$8:D$269)=0," ",LOOKUP(M22,PPTO!$J$8:$J$269,PPTO!D$8:D$269))</f>
        <v>ML</v>
      </c>
      <c r="D22" s="90" t="str">
        <f>IF(LOOKUP(M22,PPTO!$J$8:$J$269,PPTO!E$8:E$269)=0," ",LOOKUP(M22,PPTO!$J$8:$J$269,PPTO!E$8:E$269))</f>
        <v xml:space="preserve"> </v>
      </c>
      <c r="E22" s="90" t="str">
        <f>IF(LOOKUP(M22,PPTO!$J$8:$J$269,PPTO!F$8:F$269)=0," ",LOOKUP(M22,PPTO!$J$8:$J$269,PPTO!F$8:F$269))</f>
        <v xml:space="preserve"> </v>
      </c>
      <c r="F22" s="90" t="str">
        <f>IF(LOOKUP(M22,PPTO!$J$8:$J$269,PPTO!H$8:H$269)=0," ",LOOKUP(M22,PPTO!$J$8:$J$269,PPTO!H$8:H$269))</f>
        <v xml:space="preserve"> </v>
      </c>
      <c r="G22" s="178"/>
      <c r="H22" s="102" t="e">
        <f t="shared" ref="H22:H60" si="1">ROUND(G22*E22,0)</f>
        <v>#VALUE!</v>
      </c>
      <c r="I22" s="174">
        <v>0</v>
      </c>
      <c r="J22" s="102" t="e">
        <f t="shared" ref="J22:J60" si="2">ROUND(I22*E22,0)</f>
        <v>#VALUE!</v>
      </c>
      <c r="K22" s="102">
        <f>I22+IF(DATOS!$E$142&gt;0,IF(DATOS!$E$144&gt;0,IF(DATOS!$E$146&gt;0,IF(DATOS!$E$148&gt;0,IF(DATOS!$E$150&gt;0,IF(DATOS!$E$152&gt;0,IF(DATOS!$E$154&gt;0,IF(DATOS!$E$156&gt;0,IF(DATOS!$E$158&gt;0,IF(DATOS!$E$160&gt;0,'ACTA PARCIAL No.10'!K22,'ACTA PARCIAL No.9'!K22),'ACTA PARCIAL No.8'!K22),'ACTA PARCIAL No.7'!K22),'ACTA PARCIAL No.6'!K22),'ACTA PARCIAL No.5'!K22),'ACTA PARCIAL No.4'!K22),#REF!),#REF!),'ACTA PARCIAL No.1'!K22),0)</f>
        <v>0</v>
      </c>
      <c r="L22" s="102" t="e">
        <f t="shared" ref="L22:L60" si="3">ROUND(K22*E22,0)</f>
        <v>#VALUE!</v>
      </c>
      <c r="M22" s="108">
        <f t="shared" si="0"/>
        <v>6</v>
      </c>
      <c r="O22" s="102"/>
    </row>
    <row r="23" spans="1:16">
      <c r="A23" s="87" t="str">
        <f>IF(LOOKUP(M23,PPTO!$J$8:$J$269,PPTO!A$8:A$269)=0," ",LOOKUP(M23,PPTO!$J$8:$J$269,PPTO!A$8:A$269))</f>
        <v>2.02</v>
      </c>
      <c r="B23" s="91" t="str">
        <f>IF(LOOKUP(M23,PPTO!$J$8:J$269,PPTO!B$8:B$269)=0," ",LOOKUP(M23,PPTO!$J$8:J$269,PPTO!B$8:B$269))</f>
        <v xml:space="preserve"> </v>
      </c>
      <c r="C23" s="89" t="str">
        <f>IF(LOOKUP(M23,PPTO!$J$8:$J$269,PPTO!D$8:D$269)=0," ",LOOKUP(M23,PPTO!$J$8:$J$269,PPTO!D$8:D$269))</f>
        <v>M2</v>
      </c>
      <c r="D23" s="90" t="str">
        <f>IF(LOOKUP(M23,PPTO!$J$8:$J$269,PPTO!E$8:E$269)=0," ",LOOKUP(M23,PPTO!$J$8:$J$269,PPTO!E$8:E$269))</f>
        <v xml:space="preserve"> </v>
      </c>
      <c r="E23" s="90" t="str">
        <f>IF(LOOKUP(M23,PPTO!$J$8:$J$269,PPTO!F$8:F$269)=0," ",LOOKUP(M23,PPTO!$J$8:$J$269,PPTO!F$8:F$269))</f>
        <v xml:space="preserve"> </v>
      </c>
      <c r="F23" s="90" t="str">
        <f>IF(LOOKUP(M23,PPTO!$J$8:$J$269,PPTO!H$8:H$269)=0," ",LOOKUP(M23,PPTO!$J$8:$J$269,PPTO!H$8:H$269))</f>
        <v xml:space="preserve"> </v>
      </c>
      <c r="G23" s="178"/>
      <c r="H23" s="102" t="e">
        <f t="shared" si="1"/>
        <v>#VALUE!</v>
      </c>
      <c r="I23" s="174">
        <v>0</v>
      </c>
      <c r="J23" s="102" t="e">
        <f t="shared" si="2"/>
        <v>#VALUE!</v>
      </c>
      <c r="K23" s="102">
        <f>I23+IF(DATOS!$E$142&gt;0,IF(DATOS!$E$144&gt;0,IF(DATOS!$E$146&gt;0,IF(DATOS!$E$148&gt;0,IF(DATOS!$E$150&gt;0,IF(DATOS!$E$152&gt;0,IF(DATOS!$E$154&gt;0,IF(DATOS!$E$156&gt;0,IF(DATOS!$E$158&gt;0,IF(DATOS!$E$160&gt;0,'ACTA PARCIAL No.10'!K23,'ACTA PARCIAL No.9'!K23),'ACTA PARCIAL No.8'!K23),'ACTA PARCIAL No.7'!K23),'ACTA PARCIAL No.6'!K23),'ACTA PARCIAL No.5'!K23),'ACTA PARCIAL No.4'!K23),#REF!),#REF!),'ACTA PARCIAL No.1'!K23),0)</f>
        <v>0</v>
      </c>
      <c r="L23" s="102" t="e">
        <f t="shared" si="3"/>
        <v>#VALUE!</v>
      </c>
      <c r="M23" s="108">
        <f t="shared" si="0"/>
        <v>7</v>
      </c>
      <c r="O23" s="102"/>
    </row>
    <row r="24" spans="1:16">
      <c r="A24" s="87" t="str">
        <f>IF(LOOKUP(M24,PPTO!$J$8:$J$269,PPTO!A$8:A$269)=0," ",LOOKUP(M24,PPTO!$J$8:$J$269,PPTO!A$8:A$269))</f>
        <v>2.03</v>
      </c>
      <c r="B24" s="91" t="str">
        <f>IF(LOOKUP(M24,PPTO!$J$8:J$269,PPTO!B$8:B$269)=0," ",LOOKUP(M24,PPTO!$J$8:J$269,PPTO!B$8:B$269))</f>
        <v xml:space="preserve"> </v>
      </c>
      <c r="C24" s="89" t="str">
        <f>IF(LOOKUP(M24,PPTO!$J$8:$J$269,PPTO!D$8:D$269)=0," ",LOOKUP(M24,PPTO!$J$8:$J$269,PPTO!D$8:D$269))</f>
        <v>M2</v>
      </c>
      <c r="D24" s="90" t="str">
        <f>IF(LOOKUP(M24,PPTO!$J$8:$J$269,PPTO!E$8:E$269)=0," ",LOOKUP(M24,PPTO!$J$8:$J$269,PPTO!E$8:E$269))</f>
        <v xml:space="preserve"> </v>
      </c>
      <c r="E24" s="90" t="str">
        <f>IF(LOOKUP(M24,PPTO!$J$8:$J$269,PPTO!F$8:F$269)=0," ",LOOKUP(M24,PPTO!$J$8:$J$269,PPTO!F$8:F$269))</f>
        <v xml:space="preserve"> </v>
      </c>
      <c r="F24" s="90" t="str">
        <f>IF(LOOKUP(M24,PPTO!$J$8:$J$269,PPTO!H$8:H$269)=0," ",LOOKUP(M24,PPTO!$J$8:$J$269,PPTO!H$8:H$269))</f>
        <v xml:space="preserve"> </v>
      </c>
      <c r="G24" s="178"/>
      <c r="H24" s="102" t="e">
        <f t="shared" si="1"/>
        <v>#VALUE!</v>
      </c>
      <c r="I24" s="174">
        <v>0</v>
      </c>
      <c r="J24" s="102" t="e">
        <f t="shared" si="2"/>
        <v>#VALUE!</v>
      </c>
      <c r="K24" s="102">
        <f>I24+IF(DATOS!$E$142&gt;0,IF(DATOS!$E$144&gt;0,IF(DATOS!$E$146&gt;0,IF(DATOS!$E$148&gt;0,IF(DATOS!$E$150&gt;0,IF(DATOS!$E$152&gt;0,IF(DATOS!$E$154&gt;0,IF(DATOS!$E$156&gt;0,IF(DATOS!$E$158&gt;0,IF(DATOS!$E$160&gt;0,'ACTA PARCIAL No.10'!K24,'ACTA PARCIAL No.9'!K24),'ACTA PARCIAL No.8'!K24),'ACTA PARCIAL No.7'!K24),'ACTA PARCIAL No.6'!K24),'ACTA PARCIAL No.5'!K24),'ACTA PARCIAL No.4'!K24),#REF!),#REF!),'ACTA PARCIAL No.1'!K24),0)</f>
        <v>0</v>
      </c>
      <c r="L24" s="102" t="e">
        <f t="shared" si="3"/>
        <v>#VALUE!</v>
      </c>
      <c r="M24" s="108">
        <f t="shared" si="0"/>
        <v>8</v>
      </c>
      <c r="O24" s="102"/>
      <c r="P24" s="323"/>
    </row>
    <row r="25" spans="1:16">
      <c r="A25" s="87" t="str">
        <f>IF(LOOKUP(M25,PPTO!$J$8:$J$269,PPTO!A$8:A$269)=0," ",LOOKUP(M25,PPTO!$J$8:$J$269,PPTO!A$8:A$269))</f>
        <v>2.04</v>
      </c>
      <c r="B25" s="91" t="str">
        <f>IF(LOOKUP(M25,PPTO!$J$8:J$269,PPTO!B$8:B$269)=0," ",LOOKUP(M25,PPTO!$J$8:J$269,PPTO!B$8:B$269))</f>
        <v xml:space="preserve"> </v>
      </c>
      <c r="C25" s="89" t="str">
        <f>IF(LOOKUP(M25,PPTO!$J$8:$J$269,PPTO!D$8:D$269)=0," ",LOOKUP(M25,PPTO!$J$8:$J$269,PPTO!D$8:D$269))</f>
        <v>UND</v>
      </c>
      <c r="D25" s="90" t="str">
        <f>IF(LOOKUP(M25,PPTO!$J$8:$J$269,PPTO!E$8:E$269)=0," ",LOOKUP(M25,PPTO!$J$8:$J$269,PPTO!E$8:E$269))</f>
        <v xml:space="preserve"> </v>
      </c>
      <c r="E25" s="90" t="str">
        <f>IF(LOOKUP(M25,PPTO!$J$8:$J$269,PPTO!F$8:F$269)=0," ",LOOKUP(M25,PPTO!$J$8:$J$269,PPTO!F$8:F$269))</f>
        <v xml:space="preserve"> </v>
      </c>
      <c r="F25" s="90" t="str">
        <f>IF(LOOKUP(M25,PPTO!$J$8:$J$269,PPTO!H$8:H$269)=0," ",LOOKUP(M25,PPTO!$J$8:$J$269,PPTO!H$8:H$269))</f>
        <v xml:space="preserve"> </v>
      </c>
      <c r="G25" s="178"/>
      <c r="H25" s="102" t="e">
        <f t="shared" si="1"/>
        <v>#VALUE!</v>
      </c>
      <c r="I25" s="174">
        <v>0</v>
      </c>
      <c r="J25" s="102" t="e">
        <f t="shared" si="2"/>
        <v>#VALUE!</v>
      </c>
      <c r="K25" s="102">
        <f>I25+IF(DATOS!$E$142&gt;0,IF(DATOS!$E$144&gt;0,IF(DATOS!$E$146&gt;0,IF(DATOS!$E$148&gt;0,IF(DATOS!$E$150&gt;0,IF(DATOS!$E$152&gt;0,IF(DATOS!$E$154&gt;0,IF(DATOS!$E$156&gt;0,IF(DATOS!$E$158&gt;0,IF(DATOS!$E$160&gt;0,'ACTA PARCIAL No.10'!K25,'ACTA PARCIAL No.9'!K25),'ACTA PARCIAL No.8'!K25),'ACTA PARCIAL No.7'!K25),'ACTA PARCIAL No.6'!K25),'ACTA PARCIAL No.5'!K25),'ACTA PARCIAL No.4'!K25),#REF!),#REF!),'ACTA PARCIAL No.1'!K25),0)</f>
        <v>0</v>
      </c>
      <c r="L25" s="102" t="e">
        <f t="shared" si="3"/>
        <v>#VALUE!</v>
      </c>
      <c r="M25" s="108">
        <f t="shared" si="0"/>
        <v>9</v>
      </c>
      <c r="O25" s="102"/>
    </row>
    <row r="26" spans="1:16">
      <c r="A26" s="87">
        <f>IF(LOOKUP(M26,PPTO!$J$8:$J$269,PPTO!A$8:A$269)=0," ",LOOKUP(M26,PPTO!$J$8:$J$269,PPTO!A$8:A$269))</f>
        <v>3</v>
      </c>
      <c r="B26" s="91" t="str">
        <f>IF(LOOKUP(M26,PPTO!$J$8:J$269,PPTO!B$8:B$269)=0," ",LOOKUP(M26,PPTO!$J$8:J$269,PPTO!B$8:B$269))</f>
        <v>MOVIMIENTOS DE TIERRA</v>
      </c>
      <c r="C26" s="89" t="str">
        <f>IF(LOOKUP(M26,PPTO!$J$8:$J$269,PPTO!D$8:D$269)=0," ",LOOKUP(M26,PPTO!$J$8:$J$269,PPTO!D$8:D$269))</f>
        <v xml:space="preserve"> </v>
      </c>
      <c r="D26" s="90" t="str">
        <f>IF(LOOKUP(M26,PPTO!$J$8:$J$269,PPTO!E$8:E$269)=0," ",LOOKUP(M26,PPTO!$J$8:$J$269,PPTO!E$8:E$269))</f>
        <v xml:space="preserve"> </v>
      </c>
      <c r="E26" s="90" t="str">
        <f>IF(LOOKUP(M26,PPTO!$J$8:$J$269,PPTO!F$8:F$269)=0," ",LOOKUP(M26,PPTO!$J$8:$J$269,PPTO!F$8:F$269))</f>
        <v xml:space="preserve"> </v>
      </c>
      <c r="F26" s="90" t="str">
        <f>IF(LOOKUP(M26,PPTO!$J$8:$J$269,PPTO!H$8:H$269)=0," ",LOOKUP(M26,PPTO!$J$8:$J$269,PPTO!H$8:H$269))</f>
        <v xml:space="preserve"> </v>
      </c>
      <c r="G26" s="178"/>
      <c r="H26" s="102"/>
      <c r="I26" s="174"/>
      <c r="J26" s="102"/>
      <c r="K26" s="102"/>
      <c r="L26" s="102"/>
      <c r="M26" s="108">
        <f t="shared" si="0"/>
        <v>10</v>
      </c>
      <c r="O26" s="102"/>
    </row>
    <row r="27" spans="1:16">
      <c r="A27" s="87" t="str">
        <f>IF(LOOKUP(M27,PPTO!$J$8:$J$269,PPTO!A$8:A$269)=0," ",LOOKUP(M27,PPTO!$J$8:$J$269,PPTO!A$8:A$269))</f>
        <v>3.01</v>
      </c>
      <c r="B27" s="91" t="str">
        <f>IF(LOOKUP(M27,PPTO!$J$8:J$269,PPTO!B$8:B$269)=0," ",LOOKUP(M27,PPTO!$J$8:J$269,PPTO!B$8:B$269))</f>
        <v xml:space="preserve"> </v>
      </c>
      <c r="C27" s="89" t="str">
        <f>IF(LOOKUP(M27,PPTO!$J$8:$J$269,PPTO!D$8:D$269)=0," ",LOOKUP(M27,PPTO!$J$8:$J$269,PPTO!D$8:D$269))</f>
        <v>M3</v>
      </c>
      <c r="D27" s="90" t="str">
        <f>IF(LOOKUP(M27,PPTO!$J$8:$J$269,PPTO!E$8:E$269)=0," ",LOOKUP(M27,PPTO!$J$8:$J$269,PPTO!E$8:E$269))</f>
        <v xml:space="preserve"> </v>
      </c>
      <c r="E27" s="90" t="str">
        <f>IF(LOOKUP(M27,PPTO!$J$8:$J$269,PPTO!F$8:F$269)=0," ",LOOKUP(M27,PPTO!$J$8:$J$269,PPTO!F$8:F$269))</f>
        <v xml:space="preserve"> </v>
      </c>
      <c r="F27" s="90" t="str">
        <f>IF(LOOKUP(M27,PPTO!$J$8:$J$269,PPTO!H$8:H$269)=0," ",LOOKUP(M27,PPTO!$J$8:$J$269,PPTO!H$8:H$269))</f>
        <v xml:space="preserve"> </v>
      </c>
      <c r="G27" s="178"/>
      <c r="H27" s="102" t="e">
        <f t="shared" si="1"/>
        <v>#VALUE!</v>
      </c>
      <c r="I27" s="174">
        <v>0</v>
      </c>
      <c r="J27" s="102" t="e">
        <f t="shared" si="2"/>
        <v>#VALUE!</v>
      </c>
      <c r="K27" s="102">
        <f>I27+IF(DATOS!$E$142&gt;0,IF(DATOS!$E$144&gt;0,IF(DATOS!$E$146&gt;0,IF(DATOS!$E$148&gt;0,IF(DATOS!$E$150&gt;0,IF(DATOS!$E$152&gt;0,IF(DATOS!$E$154&gt;0,IF(DATOS!$E$156&gt;0,IF(DATOS!$E$158&gt;0,IF(DATOS!$E$160&gt;0,'ACTA PARCIAL No.10'!K27,'ACTA PARCIAL No.9'!K27),'ACTA PARCIAL No.8'!K27),'ACTA PARCIAL No.7'!K27),'ACTA PARCIAL No.6'!K27),'ACTA PARCIAL No.5'!K27),'ACTA PARCIAL No.4'!K27),#REF!),#REF!),'ACTA PARCIAL No.1'!K27),0)</f>
        <v>0</v>
      </c>
      <c r="L27" s="102" t="e">
        <f t="shared" si="3"/>
        <v>#VALUE!</v>
      </c>
      <c r="M27" s="108">
        <f t="shared" si="0"/>
        <v>11</v>
      </c>
      <c r="O27" s="102"/>
    </row>
    <row r="28" spans="1:16">
      <c r="A28" s="87" t="str">
        <f>IF(LOOKUP(M28,PPTO!$J$8:$J$269,PPTO!A$8:A$269)=0," ",LOOKUP(M28,PPTO!$J$8:$J$269,PPTO!A$8:A$269))</f>
        <v>3.02</v>
      </c>
      <c r="B28" s="91" t="str">
        <f>IF(LOOKUP(M28,PPTO!$J$8:J$269,PPTO!B$8:B$269)=0," ",LOOKUP(M28,PPTO!$J$8:J$269,PPTO!B$8:B$269))</f>
        <v xml:space="preserve"> </v>
      </c>
      <c r="C28" s="89" t="str">
        <f>IF(LOOKUP(M28,PPTO!$J$8:$J$269,PPTO!D$8:D$269)=0," ",LOOKUP(M28,PPTO!$J$8:$J$269,PPTO!D$8:D$269))</f>
        <v>M3</v>
      </c>
      <c r="D28" s="90" t="str">
        <f>IF(LOOKUP(M28,PPTO!$J$8:$J$269,PPTO!E$8:E$269)=0," ",LOOKUP(M28,PPTO!$J$8:$J$269,PPTO!E$8:E$269))</f>
        <v xml:space="preserve"> </v>
      </c>
      <c r="E28" s="90" t="str">
        <f>IF(LOOKUP(M28,PPTO!$J$8:$J$269,PPTO!F$8:F$269)=0," ",LOOKUP(M28,PPTO!$J$8:$J$269,PPTO!F$8:F$269))</f>
        <v xml:space="preserve"> </v>
      </c>
      <c r="F28" s="90" t="str">
        <f>IF(LOOKUP(M28,PPTO!$J$8:$J$269,PPTO!H$8:H$269)=0," ",LOOKUP(M28,PPTO!$J$8:$J$269,PPTO!H$8:H$269))</f>
        <v xml:space="preserve"> </v>
      </c>
      <c r="G28" s="178"/>
      <c r="H28" s="102" t="e">
        <f t="shared" si="1"/>
        <v>#VALUE!</v>
      </c>
      <c r="I28" s="174">
        <v>0</v>
      </c>
      <c r="J28" s="102" t="e">
        <f t="shared" si="2"/>
        <v>#VALUE!</v>
      </c>
      <c r="K28" s="102">
        <f>I28+IF(DATOS!$E$142&gt;0,IF(DATOS!$E$144&gt;0,IF(DATOS!$E$146&gt;0,IF(DATOS!$E$148&gt;0,IF(DATOS!$E$150&gt;0,IF(DATOS!$E$152&gt;0,IF(DATOS!$E$154&gt;0,IF(DATOS!$E$156&gt;0,IF(DATOS!$E$158&gt;0,IF(DATOS!$E$160&gt;0,'ACTA PARCIAL No.10'!K28,'ACTA PARCIAL No.9'!K28),'ACTA PARCIAL No.8'!K28),'ACTA PARCIAL No.7'!K28),'ACTA PARCIAL No.6'!K28),'ACTA PARCIAL No.5'!K28),'ACTA PARCIAL No.4'!K28),#REF!),#REF!),'ACTA PARCIAL No.1'!K28),0)</f>
        <v>0</v>
      </c>
      <c r="L28" s="102" t="e">
        <f t="shared" si="3"/>
        <v>#VALUE!</v>
      </c>
      <c r="M28" s="108">
        <f>M27+1</f>
        <v>12</v>
      </c>
      <c r="O28" s="102"/>
    </row>
    <row r="29" spans="1:16">
      <c r="A29" s="87" t="str">
        <f>IF(LOOKUP(M29,PPTO!$J$8:$J$269,PPTO!A$8:A$269)=0," ",LOOKUP(M29,PPTO!$J$8:$J$269,PPTO!A$8:A$269))</f>
        <v>3.03</v>
      </c>
      <c r="B29" s="91" t="str">
        <f>IF(LOOKUP(M29,PPTO!$J$8:J$269,PPTO!B$8:B$269)=0," ",LOOKUP(M29,PPTO!$J$8:J$269,PPTO!B$8:B$269))</f>
        <v xml:space="preserve"> </v>
      </c>
      <c r="C29" s="89" t="str">
        <f>IF(LOOKUP(M29,PPTO!$J$8:$J$269,PPTO!D$8:D$269)=0," ",LOOKUP(M29,PPTO!$J$8:$J$269,PPTO!D$8:D$269))</f>
        <v>M3</v>
      </c>
      <c r="D29" s="90" t="str">
        <f>IF(LOOKUP(M29,PPTO!$J$8:$J$269,PPTO!E$8:E$269)=0," ",LOOKUP(M29,PPTO!$J$8:$J$269,PPTO!E$8:E$269))</f>
        <v xml:space="preserve"> </v>
      </c>
      <c r="E29" s="90" t="str">
        <f>IF(LOOKUP(M29,PPTO!$J$8:$J$269,PPTO!F$8:F$269)=0," ",LOOKUP(M29,PPTO!$J$8:$J$269,PPTO!F$8:F$269))</f>
        <v xml:space="preserve"> </v>
      </c>
      <c r="F29" s="90" t="str">
        <f>IF(LOOKUP(M29,PPTO!$J$8:$J$269,PPTO!H$8:H$269)=0," ",LOOKUP(M29,PPTO!$J$8:$J$269,PPTO!H$8:H$269))</f>
        <v xml:space="preserve"> </v>
      </c>
      <c r="G29" s="178"/>
      <c r="H29" s="102" t="e">
        <f t="shared" si="1"/>
        <v>#VALUE!</v>
      </c>
      <c r="I29" s="174">
        <v>0</v>
      </c>
      <c r="J29" s="102" t="e">
        <f t="shared" si="2"/>
        <v>#VALUE!</v>
      </c>
      <c r="K29" s="102">
        <f>I29+IF(DATOS!$E$142&gt;0,IF(DATOS!$E$144&gt;0,IF(DATOS!$E$146&gt;0,IF(DATOS!$E$148&gt;0,IF(DATOS!$E$150&gt;0,IF(DATOS!$E$152&gt;0,IF(DATOS!$E$154&gt;0,IF(DATOS!$E$156&gt;0,IF(DATOS!$E$158&gt;0,IF(DATOS!$E$160&gt;0,'ACTA PARCIAL No.10'!K29,'ACTA PARCIAL No.9'!K29),'ACTA PARCIAL No.8'!K29),'ACTA PARCIAL No.7'!K29),'ACTA PARCIAL No.6'!K29),'ACTA PARCIAL No.5'!K29),'ACTA PARCIAL No.4'!K29),#REF!),#REF!),'ACTA PARCIAL No.1'!K29),0)</f>
        <v>0</v>
      </c>
      <c r="L29" s="102" t="e">
        <f t="shared" si="3"/>
        <v>#VALUE!</v>
      </c>
      <c r="M29" s="108">
        <f>M28+1</f>
        <v>13</v>
      </c>
      <c r="O29" s="102"/>
    </row>
    <row r="30" spans="1:16">
      <c r="A30" s="87" t="str">
        <f>IF(LOOKUP(M30,PPTO!$J$8:$J$269,PPTO!A$8:A$269)=0," ",LOOKUP(M30,PPTO!$J$8:$J$269,PPTO!A$8:A$269))</f>
        <v>3.04</v>
      </c>
      <c r="B30" s="91" t="str">
        <f>IF(LOOKUP(M30,PPTO!$J$8:J$269,PPTO!B$8:B$269)=0," ",LOOKUP(M30,PPTO!$J$8:J$269,PPTO!B$8:B$269))</f>
        <v xml:space="preserve"> </v>
      </c>
      <c r="C30" s="89" t="str">
        <f>IF(LOOKUP(M30,PPTO!$J$8:$J$269,PPTO!D$8:D$269)=0," ",LOOKUP(M30,PPTO!$J$8:$J$269,PPTO!D$8:D$269))</f>
        <v>M3</v>
      </c>
      <c r="D30" s="90" t="str">
        <f>IF(LOOKUP(M30,PPTO!$J$8:$J$269,PPTO!E$8:E$269)=0," ",LOOKUP(M30,PPTO!$J$8:$J$269,PPTO!E$8:E$269))</f>
        <v xml:space="preserve"> </v>
      </c>
      <c r="E30" s="90" t="str">
        <f>IF(LOOKUP(M30,PPTO!$J$8:$J$269,PPTO!F$8:F$269)=0," ",LOOKUP(M30,PPTO!$J$8:$J$269,PPTO!F$8:F$269))</f>
        <v xml:space="preserve"> </v>
      </c>
      <c r="F30" s="90" t="str">
        <f>IF(LOOKUP(M30,PPTO!$J$8:$J$269,PPTO!H$8:H$269)=0," ",LOOKUP(M30,PPTO!$J$8:$J$269,PPTO!H$8:H$269))</f>
        <v xml:space="preserve"> </v>
      </c>
      <c r="G30" s="178"/>
      <c r="H30" s="102" t="e">
        <f t="shared" si="1"/>
        <v>#VALUE!</v>
      </c>
      <c r="I30" s="174">
        <v>0</v>
      </c>
      <c r="J30" s="102" t="e">
        <f t="shared" si="2"/>
        <v>#VALUE!</v>
      </c>
      <c r="K30" s="102">
        <f>I30+IF(DATOS!$E$142&gt;0,IF(DATOS!$E$144&gt;0,IF(DATOS!$E$146&gt;0,IF(DATOS!$E$148&gt;0,IF(DATOS!$E$150&gt;0,IF(DATOS!$E$152&gt;0,IF(DATOS!$E$154&gt;0,IF(DATOS!$E$156&gt;0,IF(DATOS!$E$158&gt;0,IF(DATOS!$E$160&gt;0,'ACTA PARCIAL No.10'!K30,'ACTA PARCIAL No.9'!K30),'ACTA PARCIAL No.8'!K30),'ACTA PARCIAL No.7'!K30),'ACTA PARCIAL No.6'!K30),'ACTA PARCIAL No.5'!K30),'ACTA PARCIAL No.4'!K30),#REF!),#REF!),'ACTA PARCIAL No.1'!K30),0)</f>
        <v>0</v>
      </c>
      <c r="L30" s="102" t="e">
        <f t="shared" si="3"/>
        <v>#VALUE!</v>
      </c>
      <c r="M30" s="108">
        <f t="shared" si="0"/>
        <v>14</v>
      </c>
      <c r="O30" s="102"/>
    </row>
    <row r="31" spans="1:16">
      <c r="A31" s="87" t="str">
        <f>IF(LOOKUP(M31,PPTO!$J$8:$J$269,PPTO!A$8:A$269)=0," ",LOOKUP(M31,PPTO!$J$8:$J$269,PPTO!A$8:A$269))</f>
        <v>3.05</v>
      </c>
      <c r="B31" s="91" t="str">
        <f>IF(LOOKUP(M31,PPTO!$J$8:J$269,PPTO!B$8:B$269)=0," ",LOOKUP(M31,PPTO!$J$8:J$269,PPTO!B$8:B$269))</f>
        <v xml:space="preserve"> </v>
      </c>
      <c r="C31" s="89" t="str">
        <f>IF(LOOKUP(M31,PPTO!$J$8:$J$269,PPTO!D$8:D$269)=0," ",LOOKUP(M31,PPTO!$J$8:$J$269,PPTO!D$8:D$269))</f>
        <v>M3</v>
      </c>
      <c r="D31" s="90" t="str">
        <f>IF(LOOKUP(M31,PPTO!$J$8:$J$269,PPTO!E$8:E$269)=0," ",LOOKUP(M31,PPTO!$J$8:$J$269,PPTO!E$8:E$269))</f>
        <v xml:space="preserve"> </v>
      </c>
      <c r="E31" s="90" t="str">
        <f>IF(LOOKUP(M31,PPTO!$J$8:$J$269,PPTO!F$8:F$269)=0," ",LOOKUP(M31,PPTO!$J$8:$J$269,PPTO!F$8:F$269))</f>
        <v xml:space="preserve"> </v>
      </c>
      <c r="F31" s="90" t="str">
        <f>IF(LOOKUP(M31,PPTO!$J$8:$J$269,PPTO!H$8:H$269)=0," ",LOOKUP(M31,PPTO!$J$8:$J$269,PPTO!H$8:H$269))</f>
        <v xml:space="preserve"> </v>
      </c>
      <c r="G31" s="178"/>
      <c r="H31" s="102" t="e">
        <f t="shared" si="1"/>
        <v>#VALUE!</v>
      </c>
      <c r="I31" s="174">
        <v>0</v>
      </c>
      <c r="J31" s="102" t="e">
        <f t="shared" si="2"/>
        <v>#VALUE!</v>
      </c>
      <c r="K31" s="102">
        <f>I31+IF(DATOS!$E$142&gt;0,IF(DATOS!$E$144&gt;0,IF(DATOS!$E$146&gt;0,IF(DATOS!$E$148&gt;0,IF(DATOS!$E$150&gt;0,IF(DATOS!$E$152&gt;0,IF(DATOS!$E$154&gt;0,IF(DATOS!$E$156&gt;0,IF(DATOS!$E$158&gt;0,IF(DATOS!$E$160&gt;0,'ACTA PARCIAL No.10'!K31,'ACTA PARCIAL No.9'!K31),'ACTA PARCIAL No.8'!K31),'ACTA PARCIAL No.7'!K31),'ACTA PARCIAL No.6'!K31),'ACTA PARCIAL No.5'!K31),'ACTA PARCIAL No.4'!K31),#REF!),#REF!),'ACTA PARCIAL No.1'!K31),0)</f>
        <v>0</v>
      </c>
      <c r="L31" s="102" t="e">
        <f t="shared" si="3"/>
        <v>#VALUE!</v>
      </c>
      <c r="M31" s="108">
        <f t="shared" si="0"/>
        <v>15</v>
      </c>
      <c r="O31" s="102"/>
    </row>
    <row r="32" spans="1:16">
      <c r="A32" s="87" t="str">
        <f>IF(LOOKUP(M32,PPTO!$J$8:$J$269,PPTO!A$8:A$269)=0," ",LOOKUP(M32,PPTO!$J$8:$J$269,PPTO!A$8:A$269))</f>
        <v>3.06</v>
      </c>
      <c r="B32" s="91" t="str">
        <f>IF(LOOKUP(M32,PPTO!$J$8:J$269,PPTO!B$8:B$269)=0," ",LOOKUP(M32,PPTO!$J$8:J$269,PPTO!B$8:B$269))</f>
        <v xml:space="preserve"> </v>
      </c>
      <c r="C32" s="89" t="str">
        <f>IF(LOOKUP(M32,PPTO!$J$8:$J$269,PPTO!D$8:D$269)=0," ",LOOKUP(M32,PPTO!$J$8:$J$269,PPTO!D$8:D$269))</f>
        <v>M3</v>
      </c>
      <c r="D32" s="90" t="str">
        <f>IF(LOOKUP(M32,PPTO!$J$8:$J$269,PPTO!E$8:E$269)=0," ",LOOKUP(M32,PPTO!$J$8:$J$269,PPTO!E$8:E$269))</f>
        <v xml:space="preserve"> </v>
      </c>
      <c r="E32" s="90" t="str">
        <f>IF(LOOKUP(M32,PPTO!$J$8:$J$269,PPTO!F$8:F$269)=0," ",LOOKUP(M32,PPTO!$J$8:$J$269,PPTO!F$8:F$269))</f>
        <v xml:space="preserve"> </v>
      </c>
      <c r="F32" s="90" t="str">
        <f>IF(LOOKUP(M32,PPTO!$J$8:$J$269,PPTO!H$8:H$269)=0," ",LOOKUP(M32,PPTO!$J$8:$J$269,PPTO!H$8:H$269))</f>
        <v xml:space="preserve"> </v>
      </c>
      <c r="G32" s="178"/>
      <c r="H32" s="102" t="e">
        <f t="shared" si="1"/>
        <v>#VALUE!</v>
      </c>
      <c r="I32" s="174">
        <v>0</v>
      </c>
      <c r="J32" s="102" t="e">
        <f t="shared" si="2"/>
        <v>#VALUE!</v>
      </c>
      <c r="K32" s="102">
        <f>I32+IF(DATOS!$E$142&gt;0,IF(DATOS!$E$144&gt;0,IF(DATOS!$E$146&gt;0,IF(DATOS!$E$148&gt;0,IF(DATOS!$E$150&gt;0,IF(DATOS!$E$152&gt;0,IF(DATOS!$E$154&gt;0,IF(DATOS!$E$156&gt;0,IF(DATOS!$E$158&gt;0,IF(DATOS!$E$160&gt;0,'ACTA PARCIAL No.10'!K32,'ACTA PARCIAL No.9'!K32),'ACTA PARCIAL No.8'!K32),'ACTA PARCIAL No.7'!K32),'ACTA PARCIAL No.6'!K32),'ACTA PARCIAL No.5'!K32),'ACTA PARCIAL No.4'!K32),#REF!),#REF!),'ACTA PARCIAL No.1'!K32),0)</f>
        <v>0</v>
      </c>
      <c r="L32" s="102" t="e">
        <f t="shared" si="3"/>
        <v>#VALUE!</v>
      </c>
      <c r="M32" s="108">
        <f t="shared" si="0"/>
        <v>16</v>
      </c>
      <c r="O32" s="102"/>
    </row>
    <row r="33" spans="1:15">
      <c r="A33" s="87" t="str">
        <f>IF(LOOKUP(M33,PPTO!$J$8:$J$269,PPTO!A$8:A$269)=0," ",LOOKUP(M33,PPTO!$J$8:$J$269,PPTO!A$8:A$269))</f>
        <v>3.07</v>
      </c>
      <c r="B33" s="91" t="str">
        <f>IF(LOOKUP(M33,PPTO!$J$8:J$269,PPTO!B$8:B$269)=0," ",LOOKUP(M33,PPTO!$J$8:J$269,PPTO!B$8:B$269))</f>
        <v xml:space="preserve"> </v>
      </c>
      <c r="C33" s="89" t="str">
        <f>IF(LOOKUP(M33,PPTO!$J$8:$J$269,PPTO!D$8:D$269)=0," ",LOOKUP(M33,PPTO!$J$8:$J$269,PPTO!D$8:D$269))</f>
        <v>M3</v>
      </c>
      <c r="D33" s="90" t="str">
        <f>IF(LOOKUP(M33,PPTO!$J$8:$J$269,PPTO!E$8:E$269)=0," ",LOOKUP(M33,PPTO!$J$8:$J$269,PPTO!E$8:E$269))</f>
        <v xml:space="preserve"> </v>
      </c>
      <c r="E33" s="90" t="str">
        <f>IF(LOOKUP(M33,PPTO!$J$8:$J$269,PPTO!F$8:F$269)=0," ",LOOKUP(M33,PPTO!$J$8:$J$269,PPTO!F$8:F$269))</f>
        <v xml:space="preserve"> </v>
      </c>
      <c r="F33" s="90" t="str">
        <f>IF(LOOKUP(M33,PPTO!$J$8:$J$269,PPTO!H$8:H$269)=0," ",LOOKUP(M33,PPTO!$J$8:$J$269,PPTO!H$8:H$269))</f>
        <v xml:space="preserve"> </v>
      </c>
      <c r="G33" s="178"/>
      <c r="H33" s="102" t="e">
        <f t="shared" si="1"/>
        <v>#VALUE!</v>
      </c>
      <c r="I33" s="174">
        <v>0</v>
      </c>
      <c r="J33" s="102" t="e">
        <f t="shared" si="2"/>
        <v>#VALUE!</v>
      </c>
      <c r="K33" s="102">
        <f>I33+IF(DATOS!$E$142&gt;0,IF(DATOS!$E$144&gt;0,IF(DATOS!$E$146&gt;0,IF(DATOS!$E$148&gt;0,IF(DATOS!$E$150&gt;0,IF(DATOS!$E$152&gt;0,IF(DATOS!$E$154&gt;0,IF(DATOS!$E$156&gt;0,IF(DATOS!$E$158&gt;0,IF(DATOS!$E$160&gt;0,'ACTA PARCIAL No.10'!K33,'ACTA PARCIAL No.9'!K33),'ACTA PARCIAL No.8'!K33),'ACTA PARCIAL No.7'!K33),'ACTA PARCIAL No.6'!K33),'ACTA PARCIAL No.5'!K33),'ACTA PARCIAL No.4'!K33),#REF!),#REF!),'ACTA PARCIAL No.1'!K33),0)</f>
        <v>0</v>
      </c>
      <c r="L33" s="102" t="e">
        <f t="shared" si="3"/>
        <v>#VALUE!</v>
      </c>
      <c r="M33" s="108">
        <f t="shared" si="0"/>
        <v>17</v>
      </c>
      <c r="O33" s="102"/>
    </row>
    <row r="34" spans="1:15">
      <c r="A34" s="87" t="str">
        <f>IF(LOOKUP(M34,PPTO!$J$8:$J$269,PPTO!A$8:A$269)=0," ",LOOKUP(M34,PPTO!$J$8:$J$269,PPTO!A$8:A$269))</f>
        <v>3.08</v>
      </c>
      <c r="B34" s="91" t="str">
        <f>IF(LOOKUP(M34,PPTO!$J$8:J$269,PPTO!B$8:B$269)=0," ",LOOKUP(M34,PPTO!$J$8:J$269,PPTO!B$8:B$269))</f>
        <v xml:space="preserve"> </v>
      </c>
      <c r="C34" s="89" t="str">
        <f>IF(LOOKUP(M34,PPTO!$J$8:$J$269,PPTO!D$8:D$269)=0," ",LOOKUP(M34,PPTO!$J$8:$J$269,PPTO!D$8:D$269))</f>
        <v>M2</v>
      </c>
      <c r="D34" s="90" t="str">
        <f>IF(LOOKUP(M34,PPTO!$J$8:$J$269,PPTO!E$8:E$269)=0," ",LOOKUP(M34,PPTO!$J$8:$J$269,PPTO!E$8:E$269))</f>
        <v xml:space="preserve"> </v>
      </c>
      <c r="E34" s="90" t="str">
        <f>IF(LOOKUP(M34,PPTO!$J$8:$J$269,PPTO!F$8:F$269)=0," ",LOOKUP(M34,PPTO!$J$8:$J$269,PPTO!F$8:F$269))</f>
        <v xml:space="preserve"> </v>
      </c>
      <c r="F34" s="90" t="str">
        <f>IF(LOOKUP(M34,PPTO!$J$8:$J$269,PPTO!H$8:H$269)=0," ",LOOKUP(M34,PPTO!$J$8:$J$269,PPTO!H$8:H$269))</f>
        <v xml:space="preserve"> </v>
      </c>
      <c r="G34" s="178"/>
      <c r="H34" s="102" t="e">
        <f t="shared" si="1"/>
        <v>#VALUE!</v>
      </c>
      <c r="I34" s="174">
        <v>0</v>
      </c>
      <c r="J34" s="102" t="e">
        <f t="shared" si="2"/>
        <v>#VALUE!</v>
      </c>
      <c r="K34" s="102">
        <f>I34+IF(DATOS!$E$142&gt;0,IF(DATOS!$E$144&gt;0,IF(DATOS!$E$146&gt;0,IF(DATOS!$E$148&gt;0,IF(DATOS!$E$150&gt;0,IF(DATOS!$E$152&gt;0,IF(DATOS!$E$154&gt;0,IF(DATOS!$E$156&gt;0,IF(DATOS!$E$158&gt;0,IF(DATOS!$E$160&gt;0,'ACTA PARCIAL No.10'!K34,'ACTA PARCIAL No.9'!K34),'ACTA PARCIAL No.8'!K34),'ACTA PARCIAL No.7'!K34),'ACTA PARCIAL No.6'!K34),'ACTA PARCIAL No.5'!K34),'ACTA PARCIAL No.4'!K34),#REF!),#REF!),'ACTA PARCIAL No.1'!K34),0)</f>
        <v>0</v>
      </c>
      <c r="L34" s="102" t="e">
        <f t="shared" si="3"/>
        <v>#VALUE!</v>
      </c>
      <c r="M34" s="108">
        <f t="shared" si="0"/>
        <v>18</v>
      </c>
      <c r="O34" s="102"/>
    </row>
    <row r="35" spans="1:15">
      <c r="A35" s="87" t="str">
        <f>IF(LOOKUP(M35,PPTO!$J$8:$J$269,PPTO!A$8:A$269)=0," ",LOOKUP(M35,PPTO!$J$8:$J$269,PPTO!A$8:A$269))</f>
        <v>3.09</v>
      </c>
      <c r="B35" s="91" t="str">
        <f>IF(LOOKUP(M35,PPTO!$J$8:J$269,PPTO!B$8:B$269)=0," ",LOOKUP(M35,PPTO!$J$8:J$269,PPTO!B$8:B$269))</f>
        <v xml:space="preserve"> </v>
      </c>
      <c r="C35" s="89" t="str">
        <f>IF(LOOKUP(M35,PPTO!$J$8:$J$269,PPTO!D$8:D$269)=0," ",LOOKUP(M35,PPTO!$J$8:$J$269,PPTO!D$8:D$269))</f>
        <v>UND</v>
      </c>
      <c r="D35" s="90" t="str">
        <f>IF(LOOKUP(M35,PPTO!$J$8:$J$269,PPTO!E$8:E$269)=0," ",LOOKUP(M35,PPTO!$J$8:$J$269,PPTO!E$8:E$269))</f>
        <v xml:space="preserve"> </v>
      </c>
      <c r="E35" s="90" t="str">
        <f>IF(LOOKUP(M35,PPTO!$J$8:$J$269,PPTO!F$8:F$269)=0," ",LOOKUP(M35,PPTO!$J$8:$J$269,PPTO!F$8:F$269))</f>
        <v xml:space="preserve"> </v>
      </c>
      <c r="F35" s="90" t="str">
        <f>IF(LOOKUP(M35,PPTO!$J$8:$J$269,PPTO!H$8:H$269)=0," ",LOOKUP(M35,PPTO!$J$8:$J$269,PPTO!H$8:H$269))</f>
        <v xml:space="preserve"> </v>
      </c>
      <c r="G35" s="178"/>
      <c r="H35" s="102" t="e">
        <f t="shared" si="1"/>
        <v>#VALUE!</v>
      </c>
      <c r="I35" s="174">
        <v>0</v>
      </c>
      <c r="J35" s="102" t="e">
        <f t="shared" si="2"/>
        <v>#VALUE!</v>
      </c>
      <c r="K35" s="102">
        <f>I35+IF(DATOS!$E$142&gt;0,IF(DATOS!$E$144&gt;0,IF(DATOS!$E$146&gt;0,IF(DATOS!$E$148&gt;0,IF(DATOS!$E$150&gt;0,IF(DATOS!$E$152&gt;0,IF(DATOS!$E$154&gt;0,IF(DATOS!$E$156&gt;0,IF(DATOS!$E$158&gt;0,IF(DATOS!$E$160&gt;0,'ACTA PARCIAL No.10'!K35,'ACTA PARCIAL No.9'!K35),'ACTA PARCIAL No.8'!K35),'ACTA PARCIAL No.7'!K35),'ACTA PARCIAL No.6'!K35),'ACTA PARCIAL No.5'!K35),'ACTA PARCIAL No.4'!K35),#REF!),#REF!),'ACTA PARCIAL No.1'!K35),0)</f>
        <v>0</v>
      </c>
      <c r="L35" s="102" t="e">
        <f t="shared" si="3"/>
        <v>#VALUE!</v>
      </c>
      <c r="M35" s="108">
        <f t="shared" si="0"/>
        <v>19</v>
      </c>
      <c r="O35" s="102"/>
    </row>
    <row r="36" spans="1:15">
      <c r="A36" s="87" t="str">
        <f>IF(LOOKUP(M36,PPTO!$J$8:$J$269,PPTO!A$8:A$269)=0," ",LOOKUP(M36,PPTO!$J$8:$J$269,PPTO!A$8:A$269))</f>
        <v>3.10</v>
      </c>
      <c r="B36" s="91" t="str">
        <f>IF(LOOKUP(M36,PPTO!$J$8:J$269,PPTO!B$8:B$269)=0," ",LOOKUP(M36,PPTO!$J$8:J$269,PPTO!B$8:B$269))</f>
        <v xml:space="preserve"> </v>
      </c>
      <c r="C36" s="89" t="str">
        <f>IF(LOOKUP(M36,PPTO!$J$8:$J$269,PPTO!D$8:D$269)=0," ",LOOKUP(M36,PPTO!$J$8:$J$269,PPTO!D$8:D$269))</f>
        <v>M3</v>
      </c>
      <c r="D36" s="90" t="str">
        <f>IF(LOOKUP(M36,PPTO!$J$8:$J$269,PPTO!E$8:E$269)=0," ",LOOKUP(M36,PPTO!$J$8:$J$269,PPTO!E$8:E$269))</f>
        <v xml:space="preserve"> </v>
      </c>
      <c r="E36" s="90" t="str">
        <f>IF(LOOKUP(M36,PPTO!$J$8:$J$269,PPTO!F$8:F$269)=0," ",LOOKUP(M36,PPTO!$J$8:$J$269,PPTO!F$8:F$269))</f>
        <v xml:space="preserve"> </v>
      </c>
      <c r="F36" s="90" t="str">
        <f>IF(LOOKUP(M36,PPTO!$J$8:$J$269,PPTO!H$8:H$269)=0," ",LOOKUP(M36,PPTO!$J$8:$J$269,PPTO!H$8:H$269))</f>
        <v xml:space="preserve"> </v>
      </c>
      <c r="G36" s="178"/>
      <c r="H36" s="102" t="e">
        <f t="shared" si="1"/>
        <v>#VALUE!</v>
      </c>
      <c r="I36" s="174">
        <v>0</v>
      </c>
      <c r="J36" s="102" t="e">
        <f t="shared" si="2"/>
        <v>#VALUE!</v>
      </c>
      <c r="K36" s="102">
        <f>I36+IF(DATOS!$E$142&gt;0,IF(DATOS!$E$144&gt;0,IF(DATOS!$E$146&gt;0,IF(DATOS!$E$148&gt;0,IF(DATOS!$E$150&gt;0,IF(DATOS!$E$152&gt;0,IF(DATOS!$E$154&gt;0,IF(DATOS!$E$156&gt;0,IF(DATOS!$E$158&gt;0,IF(DATOS!$E$160&gt;0,'ACTA PARCIAL No.10'!K36,'ACTA PARCIAL No.9'!K36),'ACTA PARCIAL No.8'!K36),'ACTA PARCIAL No.7'!K36),'ACTA PARCIAL No.6'!K36),'ACTA PARCIAL No.5'!K36),'ACTA PARCIAL No.4'!K36),#REF!),#REF!),'ACTA PARCIAL No.1'!K36),0)</f>
        <v>0</v>
      </c>
      <c r="L36" s="102" t="e">
        <f t="shared" si="3"/>
        <v>#VALUE!</v>
      </c>
      <c r="M36" s="108">
        <f t="shared" si="0"/>
        <v>20</v>
      </c>
      <c r="O36" s="102"/>
    </row>
    <row r="37" spans="1:15">
      <c r="A37" s="87" t="str">
        <f>IF(LOOKUP(M37,PPTO!$J$8:$J$269,PPTO!A$8:A$269)=0," ",LOOKUP(M37,PPTO!$J$8:$J$269,PPTO!A$8:A$269))</f>
        <v>3.11</v>
      </c>
      <c r="B37" s="91" t="str">
        <f>IF(LOOKUP(M37,PPTO!$J$8:J$269,PPTO!B$8:B$269)=0," ",LOOKUP(M37,PPTO!$J$8:J$269,PPTO!B$8:B$269))</f>
        <v xml:space="preserve"> </v>
      </c>
      <c r="C37" s="89" t="str">
        <f>IF(LOOKUP(M37,PPTO!$J$8:$J$269,PPTO!D$8:D$269)=0," ",LOOKUP(M37,PPTO!$J$8:$J$269,PPTO!D$8:D$269))</f>
        <v>M3</v>
      </c>
      <c r="D37" s="90" t="str">
        <f>IF(LOOKUP(M37,PPTO!$J$8:$J$269,PPTO!E$8:E$269)=0," ",LOOKUP(M37,PPTO!$J$8:$J$269,PPTO!E$8:E$269))</f>
        <v xml:space="preserve"> </v>
      </c>
      <c r="E37" s="90" t="str">
        <f>IF(LOOKUP(M37,PPTO!$J$8:$J$269,PPTO!F$8:F$269)=0," ",LOOKUP(M37,PPTO!$J$8:$J$269,PPTO!F$8:F$269))</f>
        <v xml:space="preserve"> </v>
      </c>
      <c r="F37" s="90" t="str">
        <f>IF(LOOKUP(M37,PPTO!$J$8:$J$269,PPTO!H$8:H$269)=0," ",LOOKUP(M37,PPTO!$J$8:$J$269,PPTO!H$8:H$269))</f>
        <v xml:space="preserve"> </v>
      </c>
      <c r="G37" s="178"/>
      <c r="H37" s="102" t="e">
        <f t="shared" si="1"/>
        <v>#VALUE!</v>
      </c>
      <c r="I37" s="174">
        <v>0</v>
      </c>
      <c r="J37" s="102" t="e">
        <f t="shared" si="2"/>
        <v>#VALUE!</v>
      </c>
      <c r="K37" s="102">
        <f>I37+IF(DATOS!$E$142&gt;0,IF(DATOS!$E$144&gt;0,IF(DATOS!$E$146&gt;0,IF(DATOS!$E$148&gt;0,IF(DATOS!$E$150&gt;0,IF(DATOS!$E$152&gt;0,IF(DATOS!$E$154&gt;0,IF(DATOS!$E$156&gt;0,IF(DATOS!$E$158&gt;0,IF(DATOS!$E$160&gt;0,'ACTA PARCIAL No.10'!K37,'ACTA PARCIAL No.9'!K37),'ACTA PARCIAL No.8'!K37),'ACTA PARCIAL No.7'!K37),'ACTA PARCIAL No.6'!K37),'ACTA PARCIAL No.5'!K37),'ACTA PARCIAL No.4'!K37),#REF!),#REF!),'ACTA PARCIAL No.1'!K37),0)</f>
        <v>0</v>
      </c>
      <c r="L37" s="102" t="e">
        <f t="shared" si="3"/>
        <v>#VALUE!</v>
      </c>
      <c r="M37" s="108">
        <f t="shared" si="0"/>
        <v>21</v>
      </c>
      <c r="O37" s="102"/>
    </row>
    <row r="38" spans="1:15">
      <c r="A38" s="87" t="str">
        <f>IF(LOOKUP(M38,PPTO!$J$8:$J$269,PPTO!A$8:A$269)=0," ",LOOKUP(M38,PPTO!$J$8:$J$269,PPTO!A$8:A$269))</f>
        <v>3.12</v>
      </c>
      <c r="B38" s="91" t="str">
        <f>IF(LOOKUP(M38,PPTO!$J$8:J$269,PPTO!B$8:B$269)=0," ",LOOKUP(M38,PPTO!$J$8:J$269,PPTO!B$8:B$269))</f>
        <v xml:space="preserve"> </v>
      </c>
      <c r="C38" s="89" t="str">
        <f>IF(LOOKUP(M38,PPTO!$J$8:$J$269,PPTO!D$8:D$269)=0," ",LOOKUP(M38,PPTO!$J$8:$J$269,PPTO!D$8:D$269))</f>
        <v>M3</v>
      </c>
      <c r="D38" s="90" t="str">
        <f>IF(LOOKUP(M38,PPTO!$J$8:$J$269,PPTO!E$8:E$269)=0," ",LOOKUP(M38,PPTO!$J$8:$J$269,PPTO!E$8:E$269))</f>
        <v xml:space="preserve"> </v>
      </c>
      <c r="E38" s="90" t="str">
        <f>IF(LOOKUP(M38,PPTO!$J$8:$J$269,PPTO!F$8:F$269)=0," ",LOOKUP(M38,PPTO!$J$8:$J$269,PPTO!F$8:F$269))</f>
        <v xml:space="preserve"> </v>
      </c>
      <c r="F38" s="90" t="str">
        <f>IF(LOOKUP(M38,PPTO!$J$8:$J$269,PPTO!H$8:H$269)=0," ",LOOKUP(M38,PPTO!$J$8:$J$269,PPTO!H$8:H$269))</f>
        <v xml:space="preserve"> </v>
      </c>
      <c r="G38" s="178"/>
      <c r="H38" s="102" t="e">
        <f t="shared" si="1"/>
        <v>#VALUE!</v>
      </c>
      <c r="I38" s="174">
        <v>0</v>
      </c>
      <c r="J38" s="102" t="e">
        <f t="shared" si="2"/>
        <v>#VALUE!</v>
      </c>
      <c r="K38" s="102">
        <f>I38+IF(DATOS!$E$142&gt;0,IF(DATOS!$E$144&gt;0,IF(DATOS!$E$146&gt;0,IF(DATOS!$E$148&gt;0,IF(DATOS!$E$150&gt;0,IF(DATOS!$E$152&gt;0,IF(DATOS!$E$154&gt;0,IF(DATOS!$E$156&gt;0,IF(DATOS!$E$158&gt;0,IF(DATOS!$E$160&gt;0,'ACTA PARCIAL No.10'!K38,'ACTA PARCIAL No.9'!K38),'ACTA PARCIAL No.8'!K38),'ACTA PARCIAL No.7'!K38),'ACTA PARCIAL No.6'!K38),'ACTA PARCIAL No.5'!K38),'ACTA PARCIAL No.4'!K38),#REF!),#REF!),'ACTA PARCIAL No.1'!K38),0)</f>
        <v>0</v>
      </c>
      <c r="L38" s="102" t="e">
        <f t="shared" si="3"/>
        <v>#VALUE!</v>
      </c>
      <c r="M38" s="108">
        <f t="shared" si="0"/>
        <v>22</v>
      </c>
      <c r="O38" s="102"/>
    </row>
    <row r="39" spans="1:15">
      <c r="A39" s="87">
        <f>IF(LOOKUP(M39,PPTO!$J$8:$J$269,PPTO!A$8:A$269)=0," ",LOOKUP(M39,PPTO!$J$8:$J$269,PPTO!A$8:A$269))</f>
        <v>4</v>
      </c>
      <c r="B39" s="91" t="str">
        <f>IF(LOOKUP(M39,PPTO!$J$8:J$269,PPTO!B$8:B$269)=0," ",LOOKUP(M39,PPTO!$J$8:J$269,PPTO!B$8:B$269))</f>
        <v>TUBERIA DE ALCANTARILLADO</v>
      </c>
      <c r="C39" s="89" t="str">
        <f>IF(LOOKUP(M39,PPTO!$J$8:$J$269,PPTO!D$8:D$269)=0," ",LOOKUP(M39,PPTO!$J$8:$J$269,PPTO!D$8:D$269))</f>
        <v xml:space="preserve"> </v>
      </c>
      <c r="D39" s="90" t="str">
        <f>IF(LOOKUP(M39,PPTO!$J$8:$J$269,PPTO!E$8:E$269)=0," ",LOOKUP(M39,PPTO!$J$8:$J$269,PPTO!E$8:E$269))</f>
        <v xml:space="preserve"> </v>
      </c>
      <c r="E39" s="90" t="str">
        <f>IF(LOOKUP(M39,PPTO!$J$8:$J$269,PPTO!F$8:F$269)=0," ",LOOKUP(M39,PPTO!$J$8:$J$269,PPTO!F$8:F$269))</f>
        <v xml:space="preserve"> </v>
      </c>
      <c r="F39" s="90" t="str">
        <f>IF(LOOKUP(M39,PPTO!$J$8:$J$269,PPTO!H$8:H$269)=0," ",LOOKUP(M39,PPTO!$J$8:$J$269,PPTO!H$8:H$269))</f>
        <v xml:space="preserve"> </v>
      </c>
      <c r="G39" s="178"/>
      <c r="H39" s="102"/>
      <c r="I39" s="174"/>
      <c r="J39" s="102"/>
      <c r="K39" s="102"/>
      <c r="L39" s="102"/>
      <c r="M39" s="108">
        <f t="shared" si="0"/>
        <v>23</v>
      </c>
      <c r="O39" s="102"/>
    </row>
    <row r="40" spans="1:15">
      <c r="A40" s="87" t="str">
        <f>IF(LOOKUP(M40,PPTO!$J$8:$J$269,PPTO!A$8:A$269)=0," ",LOOKUP(M40,PPTO!$J$8:$J$269,PPTO!A$8:A$269))</f>
        <v>4.01</v>
      </c>
      <c r="B40" s="91" t="str">
        <f>IF(LOOKUP(M40,PPTO!$J$8:J$269,PPTO!B$8:B$269)=0," ",LOOKUP(M40,PPTO!$J$8:J$269,PPTO!B$8:B$269))</f>
        <v xml:space="preserve"> </v>
      </c>
      <c r="C40" s="89" t="str">
        <f>IF(LOOKUP(M40,PPTO!$J$8:$J$269,PPTO!D$8:D$269)=0," ",LOOKUP(M40,PPTO!$J$8:$J$269,PPTO!D$8:D$269))</f>
        <v>ML</v>
      </c>
      <c r="D40" s="90" t="str">
        <f>IF(LOOKUP(M40,PPTO!$J$8:$J$269,PPTO!E$8:E$269)=0," ",LOOKUP(M40,PPTO!$J$8:$J$269,PPTO!E$8:E$269))</f>
        <v xml:space="preserve"> </v>
      </c>
      <c r="E40" s="90" t="str">
        <f>IF(LOOKUP(M40,PPTO!$J$8:$J$269,PPTO!F$8:F$269)=0," ",LOOKUP(M40,PPTO!$J$8:$J$269,PPTO!F$8:F$269))</f>
        <v xml:space="preserve"> </v>
      </c>
      <c r="F40" s="90" t="str">
        <f>IF(LOOKUP(M40,PPTO!$J$8:$J$269,PPTO!H$8:H$269)=0," ",LOOKUP(M40,PPTO!$J$8:$J$269,PPTO!H$8:H$269))</f>
        <v xml:space="preserve"> </v>
      </c>
      <c r="G40" s="178"/>
      <c r="H40" s="102" t="e">
        <f t="shared" si="1"/>
        <v>#VALUE!</v>
      </c>
      <c r="I40" s="174">
        <v>0</v>
      </c>
      <c r="J40" s="102" t="e">
        <f t="shared" si="2"/>
        <v>#VALUE!</v>
      </c>
      <c r="K40" s="102">
        <f>I40+IF(DATOS!$E$142&gt;0,IF(DATOS!$E$144&gt;0,IF(DATOS!$E$146&gt;0,IF(DATOS!$E$148&gt;0,IF(DATOS!$E$150&gt;0,IF(DATOS!$E$152&gt;0,IF(DATOS!$E$154&gt;0,IF(DATOS!$E$156&gt;0,IF(DATOS!$E$158&gt;0,IF(DATOS!$E$160&gt;0,'ACTA PARCIAL No.10'!K40,'ACTA PARCIAL No.9'!K40),'ACTA PARCIAL No.8'!K40),'ACTA PARCIAL No.7'!K40),'ACTA PARCIAL No.6'!K40),'ACTA PARCIAL No.5'!K40),'ACTA PARCIAL No.4'!K40),#REF!),#REF!),'ACTA PARCIAL No.1'!K40),0)</f>
        <v>0</v>
      </c>
      <c r="L40" s="102" t="e">
        <f t="shared" si="3"/>
        <v>#VALUE!</v>
      </c>
      <c r="M40" s="108">
        <f t="shared" si="0"/>
        <v>24</v>
      </c>
      <c r="O40" s="102"/>
    </row>
    <row r="41" spans="1:15">
      <c r="A41" s="87" t="str">
        <f>IF(LOOKUP(M41,PPTO!$J$8:$J$269,PPTO!A$8:A$269)=0," ",LOOKUP(M41,PPTO!$J$8:$J$269,PPTO!A$8:A$269))</f>
        <v>4.02</v>
      </c>
      <c r="B41" s="91" t="str">
        <f>IF(LOOKUP(M41,PPTO!$J$8:J$269,PPTO!B$8:B$269)=0," ",LOOKUP(M41,PPTO!$J$8:J$269,PPTO!B$8:B$269))</f>
        <v xml:space="preserve"> </v>
      </c>
      <c r="C41" s="89" t="str">
        <f>IF(LOOKUP(M41,PPTO!$J$8:$J$269,PPTO!D$8:D$269)=0," ",LOOKUP(M41,PPTO!$J$8:$J$269,PPTO!D$8:D$269))</f>
        <v>ML</v>
      </c>
      <c r="D41" s="90" t="str">
        <f>IF(LOOKUP(M41,PPTO!$J$8:$J$269,PPTO!E$8:E$269)=0," ",LOOKUP(M41,PPTO!$J$8:$J$269,PPTO!E$8:E$269))</f>
        <v xml:space="preserve"> </v>
      </c>
      <c r="E41" s="90" t="str">
        <f>IF(LOOKUP(M41,PPTO!$J$8:$J$269,PPTO!F$8:F$269)=0," ",LOOKUP(M41,PPTO!$J$8:$J$269,PPTO!F$8:F$269))</f>
        <v xml:space="preserve"> </v>
      </c>
      <c r="F41" s="90" t="str">
        <f>IF(LOOKUP(M41,PPTO!$J$8:$J$269,PPTO!H$8:H$269)=0," ",LOOKUP(M41,PPTO!$J$8:$J$269,PPTO!H$8:H$269))</f>
        <v xml:space="preserve"> </v>
      </c>
      <c r="G41" s="178"/>
      <c r="H41" s="102" t="e">
        <f t="shared" si="1"/>
        <v>#VALUE!</v>
      </c>
      <c r="I41" s="174">
        <v>0</v>
      </c>
      <c r="J41" s="102" t="e">
        <f t="shared" si="2"/>
        <v>#VALUE!</v>
      </c>
      <c r="K41" s="102">
        <f>I41+IF(DATOS!$E$142&gt;0,IF(DATOS!$E$144&gt;0,IF(DATOS!$E$146&gt;0,IF(DATOS!$E$148&gt;0,IF(DATOS!$E$150&gt;0,IF(DATOS!$E$152&gt;0,IF(DATOS!$E$154&gt;0,IF(DATOS!$E$156&gt;0,IF(DATOS!$E$158&gt;0,IF(DATOS!$E$160&gt;0,'ACTA PARCIAL No.10'!K41,'ACTA PARCIAL No.9'!K41),'ACTA PARCIAL No.8'!K41),'ACTA PARCIAL No.7'!K41),'ACTA PARCIAL No.6'!K41),'ACTA PARCIAL No.5'!K41),'ACTA PARCIAL No.4'!K41),#REF!),#REF!),'ACTA PARCIAL No.1'!K41),0)</f>
        <v>0</v>
      </c>
      <c r="L41" s="102" t="e">
        <f t="shared" si="3"/>
        <v>#VALUE!</v>
      </c>
      <c r="M41" s="108">
        <f t="shared" si="0"/>
        <v>25</v>
      </c>
      <c r="O41" s="102"/>
    </row>
    <row r="42" spans="1:15">
      <c r="A42" s="87" t="str">
        <f>IF(LOOKUP(M42,PPTO!$J$8:$J$269,PPTO!A$8:A$269)=0," ",LOOKUP(M42,PPTO!$J$8:$J$269,PPTO!A$8:A$269))</f>
        <v>4.03</v>
      </c>
      <c r="B42" s="91" t="str">
        <f>IF(LOOKUP(M42,PPTO!$J$8:J$269,PPTO!B$8:B$269)=0," ",LOOKUP(M42,PPTO!$J$8:J$269,PPTO!B$8:B$269))</f>
        <v xml:space="preserve"> </v>
      </c>
      <c r="C42" s="89" t="str">
        <f>IF(LOOKUP(M42,PPTO!$J$8:$J$269,PPTO!D$8:D$269)=0," ",LOOKUP(M42,PPTO!$J$8:$J$269,PPTO!D$8:D$269))</f>
        <v>ML</v>
      </c>
      <c r="D42" s="90" t="str">
        <f>IF(LOOKUP(M42,PPTO!$J$8:$J$269,PPTO!E$8:E$269)=0," ",LOOKUP(M42,PPTO!$J$8:$J$269,PPTO!E$8:E$269))</f>
        <v xml:space="preserve"> </v>
      </c>
      <c r="E42" s="90" t="str">
        <f>IF(LOOKUP(M42,PPTO!$J$8:$J$269,PPTO!F$8:F$269)=0," ",LOOKUP(M42,PPTO!$J$8:$J$269,PPTO!F$8:F$269))</f>
        <v xml:space="preserve"> </v>
      </c>
      <c r="F42" s="90" t="str">
        <f>IF(LOOKUP(M42,PPTO!$J$8:$J$269,PPTO!H$8:H$269)=0," ",LOOKUP(M42,PPTO!$J$8:$J$269,PPTO!H$8:H$269))</f>
        <v xml:space="preserve"> </v>
      </c>
      <c r="G42" s="178"/>
      <c r="H42" s="102" t="e">
        <f t="shared" si="1"/>
        <v>#VALUE!</v>
      </c>
      <c r="I42" s="174">
        <v>0</v>
      </c>
      <c r="J42" s="102" t="e">
        <f t="shared" si="2"/>
        <v>#VALUE!</v>
      </c>
      <c r="K42" s="102">
        <f>I42+IF(DATOS!$E$142&gt;0,IF(DATOS!$E$144&gt;0,IF(DATOS!$E$146&gt;0,IF(DATOS!$E$148&gt;0,IF(DATOS!$E$150&gt;0,IF(DATOS!$E$152&gt;0,IF(DATOS!$E$154&gt;0,IF(DATOS!$E$156&gt;0,IF(DATOS!$E$158&gt;0,IF(DATOS!$E$160&gt;0,'ACTA PARCIAL No.10'!K42,'ACTA PARCIAL No.9'!K42),'ACTA PARCIAL No.8'!K42),'ACTA PARCIAL No.7'!K42),'ACTA PARCIAL No.6'!K42),'ACTA PARCIAL No.5'!K42),'ACTA PARCIAL No.4'!K42),#REF!),#REF!),'ACTA PARCIAL No.1'!K42),0)</f>
        <v>0</v>
      </c>
      <c r="L42" s="102" t="e">
        <f t="shared" si="3"/>
        <v>#VALUE!</v>
      </c>
      <c r="M42" s="108">
        <f t="shared" si="0"/>
        <v>26</v>
      </c>
      <c r="O42" s="102"/>
    </row>
    <row r="43" spans="1:15">
      <c r="A43" s="87" t="str">
        <f>IF(LOOKUP(M43,PPTO!$J$8:$J$269,PPTO!A$8:A$269)=0," ",LOOKUP(M43,PPTO!$J$8:$J$269,PPTO!A$8:A$269))</f>
        <v>4.04</v>
      </c>
      <c r="B43" s="91" t="str">
        <f>IF(LOOKUP(M43,PPTO!$J$8:J$269,PPTO!B$8:B$269)=0," ",LOOKUP(M43,PPTO!$J$8:J$269,PPTO!B$8:B$269))</f>
        <v xml:space="preserve"> </v>
      </c>
      <c r="C43" s="89" t="str">
        <f>IF(LOOKUP(M43,PPTO!$J$8:$J$269,PPTO!D$8:D$269)=0," ",LOOKUP(M43,PPTO!$J$8:$J$269,PPTO!D$8:D$269))</f>
        <v>ML</v>
      </c>
      <c r="D43" s="90" t="str">
        <f>IF(LOOKUP(M43,PPTO!$J$8:$J$269,PPTO!E$8:E$269)=0," ",LOOKUP(M43,PPTO!$J$8:$J$269,PPTO!E$8:E$269))</f>
        <v xml:space="preserve"> </v>
      </c>
      <c r="E43" s="90" t="str">
        <f>IF(LOOKUP(M43,PPTO!$J$8:$J$269,PPTO!F$8:F$269)=0," ",LOOKUP(M43,PPTO!$J$8:$J$269,PPTO!F$8:F$269))</f>
        <v xml:space="preserve"> </v>
      </c>
      <c r="F43" s="90" t="str">
        <f>IF(LOOKUP(M43,PPTO!$J$8:$J$269,PPTO!H$8:H$269)=0," ",LOOKUP(M43,PPTO!$J$8:$J$269,PPTO!H$8:H$269))</f>
        <v xml:space="preserve"> </v>
      </c>
      <c r="G43" s="178"/>
      <c r="H43" s="102" t="e">
        <f t="shared" si="1"/>
        <v>#VALUE!</v>
      </c>
      <c r="I43" s="174">
        <v>0</v>
      </c>
      <c r="J43" s="102" t="e">
        <f t="shared" si="2"/>
        <v>#VALUE!</v>
      </c>
      <c r="K43" s="102">
        <f>I43+IF(DATOS!$E$142&gt;0,IF(DATOS!$E$144&gt;0,IF(DATOS!$E$146&gt;0,IF(DATOS!$E$148&gt;0,IF(DATOS!$E$150&gt;0,IF(DATOS!$E$152&gt;0,IF(DATOS!$E$154&gt;0,IF(DATOS!$E$156&gt;0,IF(DATOS!$E$158&gt;0,IF(DATOS!$E$160&gt;0,'ACTA PARCIAL No.10'!K43,'ACTA PARCIAL No.9'!K43),'ACTA PARCIAL No.8'!K43),'ACTA PARCIAL No.7'!K43),'ACTA PARCIAL No.6'!K43),'ACTA PARCIAL No.5'!K43),'ACTA PARCIAL No.4'!K43),#REF!),#REF!),'ACTA PARCIAL No.1'!K43),0)</f>
        <v>0</v>
      </c>
      <c r="L43" s="102" t="e">
        <f t="shared" si="3"/>
        <v>#VALUE!</v>
      </c>
      <c r="M43" s="108">
        <f t="shared" si="0"/>
        <v>27</v>
      </c>
      <c r="O43" s="102"/>
    </row>
    <row r="44" spans="1:15">
      <c r="A44" s="87" t="str">
        <f>IF(LOOKUP(M44,PPTO!$J$8:$J$269,PPTO!A$8:A$269)=0," ",LOOKUP(M44,PPTO!$J$8:$J$269,PPTO!A$8:A$269))</f>
        <v>4.05</v>
      </c>
      <c r="B44" s="91" t="str">
        <f>IF(LOOKUP(M44,PPTO!$J$8:J$269,PPTO!B$8:B$269)=0," ",LOOKUP(M44,PPTO!$J$8:J$269,PPTO!B$8:B$269))</f>
        <v xml:space="preserve"> </v>
      </c>
      <c r="C44" s="89" t="str">
        <f>IF(LOOKUP(M44,PPTO!$J$8:$J$269,PPTO!D$8:D$269)=0," ",LOOKUP(M44,PPTO!$J$8:$J$269,PPTO!D$8:D$269))</f>
        <v>ML</v>
      </c>
      <c r="D44" s="90" t="str">
        <f>IF(LOOKUP(M44,PPTO!$J$8:$J$269,PPTO!E$8:E$269)=0," ",LOOKUP(M44,PPTO!$J$8:$J$269,PPTO!E$8:E$269))</f>
        <v xml:space="preserve"> </v>
      </c>
      <c r="E44" s="90" t="str">
        <f>IF(LOOKUP(M44,PPTO!$J$8:$J$269,PPTO!F$8:F$269)=0," ",LOOKUP(M44,PPTO!$J$8:$J$269,PPTO!F$8:F$269))</f>
        <v xml:space="preserve"> </v>
      </c>
      <c r="F44" s="90" t="str">
        <f>IF(LOOKUP(M44,PPTO!$J$8:$J$269,PPTO!H$8:H$269)=0," ",LOOKUP(M44,PPTO!$J$8:$J$269,PPTO!H$8:H$269))</f>
        <v xml:space="preserve"> </v>
      </c>
      <c r="G44" s="178"/>
      <c r="H44" s="102" t="e">
        <f t="shared" si="1"/>
        <v>#VALUE!</v>
      </c>
      <c r="I44" s="174">
        <v>0</v>
      </c>
      <c r="J44" s="102" t="e">
        <f t="shared" si="2"/>
        <v>#VALUE!</v>
      </c>
      <c r="K44" s="102">
        <f>I44+IF(DATOS!$E$142&gt;0,IF(DATOS!$E$144&gt;0,IF(DATOS!$E$146&gt;0,IF(DATOS!$E$148&gt;0,IF(DATOS!$E$150&gt;0,IF(DATOS!$E$152&gt;0,IF(DATOS!$E$154&gt;0,IF(DATOS!$E$156&gt;0,IF(DATOS!$E$158&gt;0,IF(DATOS!$E$160&gt;0,'ACTA PARCIAL No.10'!K44,'ACTA PARCIAL No.9'!K44),'ACTA PARCIAL No.8'!K44),'ACTA PARCIAL No.7'!K44),'ACTA PARCIAL No.6'!K44),'ACTA PARCIAL No.5'!K44),'ACTA PARCIAL No.4'!K44),#REF!),#REF!),'ACTA PARCIAL No.1'!K44),0)</f>
        <v>0</v>
      </c>
      <c r="L44" s="102" t="e">
        <f t="shared" si="3"/>
        <v>#VALUE!</v>
      </c>
      <c r="M44" s="108">
        <f t="shared" si="0"/>
        <v>28</v>
      </c>
      <c r="O44" s="102"/>
    </row>
    <row r="45" spans="1:15">
      <c r="A45" s="87" t="str">
        <f>IF(LOOKUP(M45,PPTO!$J$8:$J$269,PPTO!A$8:A$269)=0," ",LOOKUP(M45,PPTO!$J$8:$J$269,PPTO!A$8:A$269))</f>
        <v>4.06</v>
      </c>
      <c r="B45" s="91" t="str">
        <f>IF(LOOKUP(M45,PPTO!$J$8:J$269,PPTO!B$8:B$269)=0," ",LOOKUP(M45,PPTO!$J$8:J$269,PPTO!B$8:B$269))</f>
        <v xml:space="preserve"> </v>
      </c>
      <c r="C45" s="89" t="str">
        <f>IF(LOOKUP(M45,PPTO!$J$8:$J$269,PPTO!D$8:D$269)=0," ",LOOKUP(M45,PPTO!$J$8:$J$269,PPTO!D$8:D$269))</f>
        <v>UND</v>
      </c>
      <c r="D45" s="90" t="str">
        <f>IF(LOOKUP(M45,PPTO!$J$8:$J$269,PPTO!E$8:E$269)=0," ",LOOKUP(M45,PPTO!$J$8:$J$269,PPTO!E$8:E$269))</f>
        <v xml:space="preserve"> </v>
      </c>
      <c r="E45" s="90" t="str">
        <f>IF(LOOKUP(M45,PPTO!$J$8:$J$269,PPTO!F$8:F$269)=0," ",LOOKUP(M45,PPTO!$J$8:$J$269,PPTO!F$8:F$269))</f>
        <v xml:space="preserve"> </v>
      </c>
      <c r="F45" s="90" t="str">
        <f>IF(LOOKUP(M45,PPTO!$J$8:$J$269,PPTO!H$8:H$269)=0," ",LOOKUP(M45,PPTO!$J$8:$J$269,PPTO!H$8:H$269))</f>
        <v xml:space="preserve"> </v>
      </c>
      <c r="G45" s="178"/>
      <c r="H45" s="102" t="e">
        <f t="shared" si="1"/>
        <v>#VALUE!</v>
      </c>
      <c r="I45" s="174">
        <v>0</v>
      </c>
      <c r="J45" s="102" t="e">
        <f t="shared" si="2"/>
        <v>#VALUE!</v>
      </c>
      <c r="K45" s="102">
        <f>I45+IF(DATOS!$E$142&gt;0,IF(DATOS!$E$144&gt;0,IF(DATOS!$E$146&gt;0,IF(DATOS!$E$148&gt;0,IF(DATOS!$E$150&gt;0,IF(DATOS!$E$152&gt;0,IF(DATOS!$E$154&gt;0,IF(DATOS!$E$156&gt;0,IF(DATOS!$E$158&gt;0,IF(DATOS!$E$160&gt;0,'ACTA PARCIAL No.10'!K45,'ACTA PARCIAL No.9'!K45),'ACTA PARCIAL No.8'!K45),'ACTA PARCIAL No.7'!K45),'ACTA PARCIAL No.6'!K45),'ACTA PARCIAL No.5'!K45),'ACTA PARCIAL No.4'!K45),#REF!),#REF!),'ACTA PARCIAL No.1'!K45),0)</f>
        <v>0</v>
      </c>
      <c r="L45" s="102" t="e">
        <f t="shared" si="3"/>
        <v>#VALUE!</v>
      </c>
      <c r="M45" s="108">
        <f t="shared" si="0"/>
        <v>29</v>
      </c>
      <c r="O45" s="102"/>
    </row>
    <row r="46" spans="1:15">
      <c r="A46" s="87" t="str">
        <f>IF(LOOKUP(M46,PPTO!$J$8:$J$269,PPTO!A$8:A$269)=0," ",LOOKUP(M46,PPTO!$J$8:$J$269,PPTO!A$8:A$269))</f>
        <v>4.09</v>
      </c>
      <c r="B46" s="91" t="str">
        <f>IF(LOOKUP(M46,PPTO!$J$8:J$269,PPTO!B$8:B$269)=0," ",LOOKUP(M46,PPTO!$J$8:J$269,PPTO!B$8:B$269))</f>
        <v xml:space="preserve"> </v>
      </c>
      <c r="C46" s="89" t="str">
        <f>IF(LOOKUP(M46,PPTO!$J$8:$J$269,PPTO!D$8:D$269)=0," ",LOOKUP(M46,PPTO!$J$8:$J$269,PPTO!D$8:D$269))</f>
        <v>M3</v>
      </c>
      <c r="D46" s="90" t="str">
        <f>IF(LOOKUP(M46,PPTO!$J$8:$J$269,PPTO!E$8:E$269)=0," ",LOOKUP(M46,PPTO!$J$8:$J$269,PPTO!E$8:E$269))</f>
        <v xml:space="preserve"> </v>
      </c>
      <c r="E46" s="90" t="str">
        <f>IF(LOOKUP(M46,PPTO!$J$8:$J$269,PPTO!F$8:F$269)=0," ",LOOKUP(M46,PPTO!$J$8:$J$269,PPTO!F$8:F$269))</f>
        <v xml:space="preserve"> </v>
      </c>
      <c r="F46" s="90" t="str">
        <f>IF(LOOKUP(M46,PPTO!$J$8:$J$269,PPTO!H$8:H$269)=0," ",LOOKUP(M46,PPTO!$J$8:$J$269,PPTO!H$8:H$269))</f>
        <v xml:space="preserve"> </v>
      </c>
      <c r="G46" s="178"/>
      <c r="H46" s="102" t="e">
        <f t="shared" si="1"/>
        <v>#VALUE!</v>
      </c>
      <c r="I46" s="174">
        <v>0</v>
      </c>
      <c r="J46" s="102" t="e">
        <f t="shared" si="2"/>
        <v>#VALUE!</v>
      </c>
      <c r="K46" s="102">
        <f>I46+IF(DATOS!$E$142&gt;0,IF(DATOS!$E$144&gt;0,IF(DATOS!$E$146&gt;0,IF(DATOS!$E$148&gt;0,IF(DATOS!$E$150&gt;0,IF(DATOS!$E$152&gt;0,IF(DATOS!$E$154&gt;0,IF(DATOS!$E$156&gt;0,IF(DATOS!$E$158&gt;0,IF(DATOS!$E$160&gt;0,'ACTA PARCIAL No.10'!K46,'ACTA PARCIAL No.9'!K46),'ACTA PARCIAL No.8'!K46),'ACTA PARCIAL No.7'!K46),'ACTA PARCIAL No.6'!K46),'ACTA PARCIAL No.5'!K46),'ACTA PARCIAL No.4'!K46),#REF!),#REF!),'ACTA PARCIAL No.1'!K46),0)</f>
        <v>0</v>
      </c>
      <c r="L46" s="102" t="e">
        <f t="shared" si="3"/>
        <v>#VALUE!</v>
      </c>
      <c r="M46" s="108">
        <f t="shared" si="0"/>
        <v>30</v>
      </c>
      <c r="O46" s="102"/>
    </row>
    <row r="47" spans="1:15">
      <c r="A47" s="87" t="str">
        <f>IF(LOOKUP(M47,PPTO!$J$8:$J$269,PPTO!A$8:A$269)=0," ",LOOKUP(M47,PPTO!$J$8:$J$269,PPTO!A$8:A$269))</f>
        <v>4.10</v>
      </c>
      <c r="B47" s="91" t="str">
        <f>IF(LOOKUP(M47,PPTO!$J$8:J$269,PPTO!B$8:B$269)=0," ",LOOKUP(M47,PPTO!$J$8:J$269,PPTO!B$8:B$269))</f>
        <v xml:space="preserve"> </v>
      </c>
      <c r="C47" s="89" t="str">
        <f>IF(LOOKUP(M47,PPTO!$J$8:$J$269,PPTO!D$8:D$269)=0," ",LOOKUP(M47,PPTO!$J$8:$J$269,PPTO!D$8:D$269))</f>
        <v>M3</v>
      </c>
      <c r="D47" s="90" t="str">
        <f>IF(LOOKUP(M47,PPTO!$J$8:$J$269,PPTO!E$8:E$269)=0," ",LOOKUP(M47,PPTO!$J$8:$J$269,PPTO!E$8:E$269))</f>
        <v xml:space="preserve"> </v>
      </c>
      <c r="E47" s="90" t="str">
        <f>IF(LOOKUP(M47,PPTO!$J$8:$J$269,PPTO!F$8:F$269)=0," ",LOOKUP(M47,PPTO!$J$8:$J$269,PPTO!F$8:F$269))</f>
        <v xml:space="preserve"> </v>
      </c>
      <c r="F47" s="90" t="str">
        <f>IF(LOOKUP(M47,PPTO!$J$8:$J$269,PPTO!H$8:H$269)=0," ",LOOKUP(M47,PPTO!$J$8:$J$269,PPTO!H$8:H$269))</f>
        <v xml:space="preserve"> </v>
      </c>
      <c r="G47" s="178"/>
      <c r="H47" s="102" t="e">
        <f t="shared" si="1"/>
        <v>#VALUE!</v>
      </c>
      <c r="I47" s="174">
        <v>0</v>
      </c>
      <c r="J47" s="102" t="e">
        <f t="shared" si="2"/>
        <v>#VALUE!</v>
      </c>
      <c r="K47" s="102">
        <f>I47+IF(DATOS!$E$142&gt;0,IF(DATOS!$E$144&gt;0,IF(DATOS!$E$146&gt;0,IF(DATOS!$E$148&gt;0,IF(DATOS!$E$150&gt;0,IF(DATOS!$E$152&gt;0,IF(DATOS!$E$154&gt;0,IF(DATOS!$E$156&gt;0,IF(DATOS!$E$158&gt;0,IF(DATOS!$E$160&gt;0,'ACTA PARCIAL No.10'!K47,'ACTA PARCIAL No.9'!K47),'ACTA PARCIAL No.8'!K47),'ACTA PARCIAL No.7'!K47),'ACTA PARCIAL No.6'!K47),'ACTA PARCIAL No.5'!K47),'ACTA PARCIAL No.4'!K47),#REF!),#REF!),'ACTA PARCIAL No.1'!K47),0)</f>
        <v>0</v>
      </c>
      <c r="L47" s="102" t="e">
        <f t="shared" si="3"/>
        <v>#VALUE!</v>
      </c>
      <c r="M47" s="108">
        <f t="shared" si="0"/>
        <v>31</v>
      </c>
      <c r="O47" s="102"/>
    </row>
    <row r="48" spans="1:15">
      <c r="A48" s="87">
        <f>IF(LOOKUP(M48,PPTO!$J$8:$J$269,PPTO!A$8:A$269)=0," ",LOOKUP(M48,PPTO!$J$8:$J$269,PPTO!A$8:A$269))</f>
        <v>5</v>
      </c>
      <c r="B48" s="91" t="str">
        <f>IF(LOOKUP(M48,PPTO!$J$8:J$269,PPTO!B$8:B$269)=0," ",LOOKUP(M48,PPTO!$J$8:J$269,PPTO!B$8:B$269))</f>
        <v>ESTRUCTURAS SANITARIAS EN CONCRETO</v>
      </c>
      <c r="C48" s="89" t="str">
        <f>IF(LOOKUP(M48,PPTO!$J$8:$J$269,PPTO!D$8:D$269)=0," ",LOOKUP(M48,PPTO!$J$8:$J$269,PPTO!D$8:D$269))</f>
        <v xml:space="preserve"> </v>
      </c>
      <c r="D48" s="90" t="str">
        <f>IF(LOOKUP(M48,PPTO!$J$8:$J$269,PPTO!E$8:E$269)=0," ",LOOKUP(M48,PPTO!$J$8:$J$269,PPTO!E$8:E$269))</f>
        <v xml:space="preserve"> </v>
      </c>
      <c r="E48" s="90" t="str">
        <f>IF(LOOKUP(M48,PPTO!$J$8:$J$269,PPTO!F$8:F$269)=0," ",LOOKUP(M48,PPTO!$J$8:$J$269,PPTO!F$8:F$269))</f>
        <v xml:space="preserve"> </v>
      </c>
      <c r="F48" s="90" t="str">
        <f>IF(LOOKUP(M48,PPTO!$J$8:$J$269,PPTO!H$8:H$269)=0," ",LOOKUP(M48,PPTO!$J$8:$J$269,PPTO!H$8:H$269))</f>
        <v xml:space="preserve"> </v>
      </c>
      <c r="G48" s="178"/>
      <c r="H48" s="102"/>
      <c r="I48" s="174"/>
      <c r="J48" s="102"/>
      <c r="K48" s="102">
        <f>I48+IF(DATOS!$E$142&gt;0,IF(DATOS!$E$144&gt;0,IF(DATOS!$E$146&gt;0,IF(DATOS!$E$148&gt;0,IF(DATOS!$E$150&gt;0,IF(DATOS!$E$152&gt;0,IF(DATOS!$E$154&gt;0,IF(DATOS!$E$156&gt;0,IF(DATOS!$E$158&gt;0,IF(DATOS!$E$160&gt;0,'ACTA PARCIAL No.10'!K48,'ACTA PARCIAL No.9'!K48),'ACTA PARCIAL No.8'!K48),'ACTA PARCIAL No.7'!K48),'ACTA PARCIAL No.6'!K48),'ACTA PARCIAL No.5'!K48),'ACTA PARCIAL No.4'!K48),#REF!),#REF!),'ACTA PARCIAL No.1'!K48),0)</f>
        <v>0</v>
      </c>
      <c r="L48" s="102"/>
      <c r="M48" s="108">
        <f t="shared" si="0"/>
        <v>32</v>
      </c>
      <c r="O48" s="102"/>
    </row>
    <row r="49" spans="1:16">
      <c r="A49" s="87" t="str">
        <f>IF(LOOKUP(M49,PPTO!$J$8:$J$269,PPTO!A$8:A$269)=0," ",LOOKUP(M49,PPTO!$J$8:$J$269,PPTO!A$8:A$269))</f>
        <v>5.01</v>
      </c>
      <c r="B49" s="91" t="str">
        <f>IF(LOOKUP(M49,PPTO!$J$8:J$269,PPTO!B$8:B$269)=0," ",LOOKUP(M49,PPTO!$J$8:J$269,PPTO!B$8:B$269))</f>
        <v xml:space="preserve"> </v>
      </c>
      <c r="C49" s="89" t="str">
        <f>IF(LOOKUP(M49,PPTO!$J$8:$J$269,PPTO!D$8:D$269)=0," ",LOOKUP(M49,PPTO!$J$8:$J$269,PPTO!D$8:D$269))</f>
        <v>M3</v>
      </c>
      <c r="D49" s="90" t="str">
        <f>IF(LOOKUP(M49,PPTO!$J$8:$J$269,PPTO!E$8:E$269)=0," ",LOOKUP(M49,PPTO!$J$8:$J$269,PPTO!E$8:E$269))</f>
        <v xml:space="preserve"> </v>
      </c>
      <c r="E49" s="90" t="str">
        <f>IF(LOOKUP(M49,PPTO!$J$8:$J$269,PPTO!F$8:F$269)=0," ",LOOKUP(M49,PPTO!$J$8:$J$269,PPTO!F$8:F$269))</f>
        <v xml:space="preserve"> </v>
      </c>
      <c r="F49" s="90" t="str">
        <f>IF(LOOKUP(M49,PPTO!$J$8:$J$269,PPTO!H$8:H$269)=0," ",LOOKUP(M49,PPTO!$J$8:$J$269,PPTO!H$8:H$269))</f>
        <v xml:space="preserve"> </v>
      </c>
      <c r="G49" s="178"/>
      <c r="H49" s="102" t="e">
        <f t="shared" si="1"/>
        <v>#VALUE!</v>
      </c>
      <c r="I49" s="174">
        <v>0</v>
      </c>
      <c r="J49" s="102" t="e">
        <f t="shared" si="2"/>
        <v>#VALUE!</v>
      </c>
      <c r="K49" s="102">
        <f>I49+IF(DATOS!$E$142&gt;0,IF(DATOS!$E$144&gt;0,IF(DATOS!$E$146&gt;0,IF(DATOS!$E$148&gt;0,IF(DATOS!$E$150&gt;0,IF(DATOS!$E$152&gt;0,IF(DATOS!$E$154&gt;0,IF(DATOS!$E$156&gt;0,IF(DATOS!$E$158&gt;0,IF(DATOS!$E$160&gt;0,'ACTA PARCIAL No.10'!K49,'ACTA PARCIAL No.9'!K49),'ACTA PARCIAL No.8'!K49),'ACTA PARCIAL No.7'!K49),'ACTA PARCIAL No.6'!K49),'ACTA PARCIAL No.5'!K49),'ACTA PARCIAL No.4'!K49),#REF!),#REF!),'ACTA PARCIAL No.1'!K49),0)</f>
        <v>0</v>
      </c>
      <c r="L49" s="102" t="e">
        <f t="shared" si="3"/>
        <v>#VALUE!</v>
      </c>
      <c r="M49" s="108">
        <f t="shared" si="0"/>
        <v>33</v>
      </c>
      <c r="O49" s="102"/>
    </row>
    <row r="50" spans="1:16">
      <c r="A50" s="87" t="str">
        <f>IF(LOOKUP(M50,PPTO!$J$8:$J$269,PPTO!A$8:A$269)=0," ",LOOKUP(M50,PPTO!$J$8:$J$269,PPTO!A$8:A$269))</f>
        <v>5.02</v>
      </c>
      <c r="B50" s="91" t="str">
        <f>IF(LOOKUP(M50,PPTO!$J$8:J$269,PPTO!B$8:B$269)=0," ",LOOKUP(M50,PPTO!$J$8:J$269,PPTO!B$8:B$269))</f>
        <v xml:space="preserve"> </v>
      </c>
      <c r="C50" s="89" t="str">
        <f>IF(LOOKUP(M50,PPTO!$J$8:$J$269,PPTO!D$8:D$269)=0," ",LOOKUP(M50,PPTO!$J$8:$J$269,PPTO!D$8:D$269))</f>
        <v>UND</v>
      </c>
      <c r="D50" s="90" t="str">
        <f>IF(LOOKUP(M50,PPTO!$J$8:$J$269,PPTO!E$8:E$269)=0," ",LOOKUP(M50,PPTO!$J$8:$J$269,PPTO!E$8:E$269))</f>
        <v xml:space="preserve"> </v>
      </c>
      <c r="E50" s="90" t="str">
        <f>IF(LOOKUP(M50,PPTO!$J$8:$J$269,PPTO!F$8:F$269)=0," ",LOOKUP(M50,PPTO!$J$8:$J$269,PPTO!F$8:F$269))</f>
        <v xml:space="preserve"> </v>
      </c>
      <c r="F50" s="90" t="str">
        <f>IF(LOOKUP(M50,PPTO!$J$8:$J$269,PPTO!H$8:H$269)=0," ",LOOKUP(M50,PPTO!$J$8:$J$269,PPTO!H$8:H$269))</f>
        <v xml:space="preserve"> </v>
      </c>
      <c r="G50" s="178"/>
      <c r="H50" s="102" t="e">
        <f t="shared" si="1"/>
        <v>#VALUE!</v>
      </c>
      <c r="I50" s="174">
        <v>0</v>
      </c>
      <c r="J50" s="102" t="e">
        <f t="shared" si="2"/>
        <v>#VALUE!</v>
      </c>
      <c r="K50" s="102">
        <f>I50+IF(DATOS!$E$142&gt;0,IF(DATOS!$E$144&gt;0,IF(DATOS!$E$146&gt;0,IF(DATOS!$E$148&gt;0,IF(DATOS!$E$150&gt;0,IF(DATOS!$E$152&gt;0,IF(DATOS!$E$154&gt;0,IF(DATOS!$E$156&gt;0,IF(DATOS!$E$158&gt;0,IF(DATOS!$E$160&gt;0,'ACTA PARCIAL No.10'!K50,'ACTA PARCIAL No.9'!K50),'ACTA PARCIAL No.8'!K50),'ACTA PARCIAL No.7'!K50),'ACTA PARCIAL No.6'!K50),'ACTA PARCIAL No.5'!K50),'ACTA PARCIAL No.4'!K50),#REF!),#REF!),'ACTA PARCIAL No.1'!K50),0)</f>
        <v>0</v>
      </c>
      <c r="L50" s="102" t="e">
        <f t="shared" si="3"/>
        <v>#VALUE!</v>
      </c>
      <c r="M50" s="108">
        <f t="shared" si="0"/>
        <v>34</v>
      </c>
      <c r="O50" s="102"/>
    </row>
    <row r="51" spans="1:16">
      <c r="A51" s="87" t="str">
        <f>IF(LOOKUP(M51,PPTO!$J$8:$J$269,PPTO!A$8:A$269)=0," ",LOOKUP(M51,PPTO!$J$8:$J$269,PPTO!A$8:A$269))</f>
        <v>5.03</v>
      </c>
      <c r="B51" s="91" t="str">
        <f>IF(LOOKUP(M51,PPTO!$J$8:J$269,PPTO!B$8:B$269)=0," ",LOOKUP(M51,PPTO!$J$8:J$269,PPTO!B$8:B$269))</f>
        <v xml:space="preserve"> </v>
      </c>
      <c r="C51" s="89" t="str">
        <f>IF(LOOKUP(M51,PPTO!$J$8:$J$269,PPTO!D$8:D$269)=0," ",LOOKUP(M51,PPTO!$J$8:$J$269,PPTO!D$8:D$269))</f>
        <v>UND</v>
      </c>
      <c r="D51" s="90" t="str">
        <f>IF(LOOKUP(M51,PPTO!$J$8:$J$269,PPTO!E$8:E$269)=0," ",LOOKUP(M51,PPTO!$J$8:$J$269,PPTO!E$8:E$269))</f>
        <v xml:space="preserve"> </v>
      </c>
      <c r="E51" s="90" t="str">
        <f>IF(LOOKUP(M51,PPTO!$J$8:$J$269,PPTO!F$8:F$269)=0," ",LOOKUP(M51,PPTO!$J$8:$J$269,PPTO!F$8:F$269))</f>
        <v xml:space="preserve"> </v>
      </c>
      <c r="F51" s="90" t="str">
        <f>IF(LOOKUP(M51,PPTO!$J$8:$J$269,PPTO!H$8:H$269)=0," ",LOOKUP(M51,PPTO!$J$8:$J$269,PPTO!H$8:H$269))</f>
        <v xml:space="preserve"> </v>
      </c>
      <c r="G51" s="178"/>
      <c r="H51" s="102" t="e">
        <f t="shared" si="1"/>
        <v>#VALUE!</v>
      </c>
      <c r="I51" s="174">
        <v>0</v>
      </c>
      <c r="J51" s="102" t="e">
        <f t="shared" si="2"/>
        <v>#VALUE!</v>
      </c>
      <c r="K51" s="102">
        <f>I51+IF(DATOS!$E$142&gt;0,IF(DATOS!$E$144&gt;0,IF(DATOS!$E$146&gt;0,IF(DATOS!$E$148&gt;0,IF(DATOS!$E$150&gt;0,IF(DATOS!$E$152&gt;0,IF(DATOS!$E$154&gt;0,IF(DATOS!$E$156&gt;0,IF(DATOS!$E$158&gt;0,IF(DATOS!$E$160&gt;0,'ACTA PARCIAL No.10'!K51,'ACTA PARCIAL No.9'!K51),'ACTA PARCIAL No.8'!K51),'ACTA PARCIAL No.7'!K51),'ACTA PARCIAL No.6'!K51),'ACTA PARCIAL No.5'!K51),'ACTA PARCIAL No.4'!K51),#REF!),#REF!),'ACTA PARCIAL No.1'!K51),0)</f>
        <v>0</v>
      </c>
      <c r="L51" s="102" t="e">
        <f t="shared" si="3"/>
        <v>#VALUE!</v>
      </c>
      <c r="M51" s="108">
        <f t="shared" si="0"/>
        <v>35</v>
      </c>
      <c r="O51" s="102"/>
    </row>
    <row r="52" spans="1:16">
      <c r="A52" s="87" t="str">
        <f>IF(LOOKUP(M52,PPTO!$J$8:$J$269,PPTO!A$8:A$269)=0," ",LOOKUP(M52,PPTO!$J$8:$J$269,PPTO!A$8:A$269))</f>
        <v>5.04</v>
      </c>
      <c r="B52" s="91" t="str">
        <f>IF(LOOKUP(M52,PPTO!$J$8:J$269,PPTO!B$8:B$269)=0," ",LOOKUP(M52,PPTO!$J$8:J$269,PPTO!B$8:B$269))</f>
        <v xml:space="preserve"> </v>
      </c>
      <c r="C52" s="89" t="str">
        <f>IF(LOOKUP(M52,PPTO!$J$8:$J$269,PPTO!D$8:D$269)=0," ",LOOKUP(M52,PPTO!$J$8:$J$269,PPTO!D$8:D$269))</f>
        <v>UND</v>
      </c>
      <c r="D52" s="90" t="str">
        <f>IF(LOOKUP(M52,PPTO!$J$8:$J$269,PPTO!E$8:E$269)=0," ",LOOKUP(M52,PPTO!$J$8:$J$269,PPTO!E$8:E$269))</f>
        <v xml:space="preserve"> </v>
      </c>
      <c r="E52" s="90" t="str">
        <f>IF(LOOKUP(M52,PPTO!$J$8:$J$269,PPTO!F$8:F$269)=0," ",LOOKUP(M52,PPTO!$J$8:$J$269,PPTO!F$8:F$269))</f>
        <v xml:space="preserve"> </v>
      </c>
      <c r="F52" s="90" t="str">
        <f>IF(LOOKUP(M52,PPTO!$J$8:$J$269,PPTO!H$8:H$269)=0," ",LOOKUP(M52,PPTO!$J$8:$J$269,PPTO!H$8:H$269))</f>
        <v xml:space="preserve"> </v>
      </c>
      <c r="G52" s="178"/>
      <c r="H52" s="102" t="e">
        <f t="shared" si="1"/>
        <v>#VALUE!</v>
      </c>
      <c r="I52" s="174">
        <v>0</v>
      </c>
      <c r="J52" s="102" t="e">
        <f t="shared" si="2"/>
        <v>#VALUE!</v>
      </c>
      <c r="K52" s="102">
        <f>I52+IF(DATOS!$E$142&gt;0,IF(DATOS!$E$144&gt;0,IF(DATOS!$E$146&gt;0,IF(DATOS!$E$148&gt;0,IF(DATOS!$E$150&gt;0,IF(DATOS!$E$152&gt;0,IF(DATOS!$E$154&gt;0,IF(DATOS!$E$156&gt;0,IF(DATOS!$E$158&gt;0,IF(DATOS!$E$160&gt;0,'ACTA PARCIAL No.10'!K52,'ACTA PARCIAL No.9'!K52),'ACTA PARCIAL No.8'!K52),'ACTA PARCIAL No.7'!K52),'ACTA PARCIAL No.6'!K52),'ACTA PARCIAL No.5'!K52),'ACTA PARCIAL No.4'!K52),#REF!),#REF!),'ACTA PARCIAL No.1'!K52),0)</f>
        <v>0</v>
      </c>
      <c r="L52" s="102" t="e">
        <f t="shared" si="3"/>
        <v>#VALUE!</v>
      </c>
      <c r="M52" s="108">
        <f t="shared" si="0"/>
        <v>36</v>
      </c>
      <c r="O52" s="102"/>
    </row>
    <row r="53" spans="1:16">
      <c r="A53" s="87" t="str">
        <f>IF(LOOKUP(M53,PPTO!$J$8:$J$269,PPTO!A$8:A$269)=0," ",LOOKUP(M53,PPTO!$J$8:$J$269,PPTO!A$8:A$269))</f>
        <v>5.05</v>
      </c>
      <c r="B53" s="91" t="str">
        <f>IF(LOOKUP(M53,PPTO!$J$8:J$269,PPTO!B$8:B$269)=0," ",LOOKUP(M53,PPTO!$J$8:J$269,PPTO!B$8:B$269))</f>
        <v xml:space="preserve"> </v>
      </c>
      <c r="C53" s="89" t="str">
        <f>IF(LOOKUP(M53,PPTO!$J$8:$J$269,PPTO!D$8:D$269)=0," ",LOOKUP(M53,PPTO!$J$8:$J$269,PPTO!D$8:D$269))</f>
        <v>UND</v>
      </c>
      <c r="D53" s="90" t="str">
        <f>IF(LOOKUP(M53,PPTO!$J$8:$J$269,PPTO!E$8:E$269)=0," ",LOOKUP(M53,PPTO!$J$8:$J$269,PPTO!E$8:E$269))</f>
        <v xml:space="preserve"> </v>
      </c>
      <c r="E53" s="90" t="str">
        <f>IF(LOOKUP(M53,PPTO!$J$8:$J$269,PPTO!F$8:F$269)=0," ",LOOKUP(M53,PPTO!$J$8:$J$269,PPTO!F$8:F$269))</f>
        <v xml:space="preserve"> </v>
      </c>
      <c r="F53" s="90" t="str">
        <f>IF(LOOKUP(M53,PPTO!$J$8:$J$269,PPTO!H$8:H$269)=0," ",LOOKUP(M53,PPTO!$J$8:$J$269,PPTO!H$8:H$269))</f>
        <v xml:space="preserve"> </v>
      </c>
      <c r="G53" s="178"/>
      <c r="H53" s="102" t="e">
        <f t="shared" si="1"/>
        <v>#VALUE!</v>
      </c>
      <c r="I53" s="174">
        <v>0</v>
      </c>
      <c r="J53" s="102" t="e">
        <f t="shared" si="2"/>
        <v>#VALUE!</v>
      </c>
      <c r="K53" s="102">
        <f>I53+IF(DATOS!$E$142&gt;0,IF(DATOS!$E$144&gt;0,IF(DATOS!$E$146&gt;0,IF(DATOS!$E$148&gt;0,IF(DATOS!$E$150&gt;0,IF(DATOS!$E$152&gt;0,IF(DATOS!$E$154&gt;0,IF(DATOS!$E$156&gt;0,IF(DATOS!$E$158&gt;0,IF(DATOS!$E$160&gt;0,'ACTA PARCIAL No.10'!K53,'ACTA PARCIAL No.9'!K53),'ACTA PARCIAL No.8'!K53),'ACTA PARCIAL No.7'!K53),'ACTA PARCIAL No.6'!K53),'ACTA PARCIAL No.5'!K53),'ACTA PARCIAL No.4'!K53),#REF!),#REF!),'ACTA PARCIAL No.1'!K53),0)</f>
        <v>0</v>
      </c>
      <c r="L53" s="102" t="e">
        <f t="shared" si="3"/>
        <v>#VALUE!</v>
      </c>
      <c r="M53" s="108">
        <f t="shared" si="0"/>
        <v>37</v>
      </c>
      <c r="O53" s="102"/>
    </row>
    <row r="54" spans="1:16">
      <c r="A54" s="87" t="str">
        <f>IF(LOOKUP(M54,PPTO!$J$8:$J$269,PPTO!A$8:A$269)=0," ",LOOKUP(M54,PPTO!$J$8:$J$269,PPTO!A$8:A$269))</f>
        <v>5.06</v>
      </c>
      <c r="B54" s="91" t="str">
        <f>IF(LOOKUP(M54,PPTO!$J$8:J$269,PPTO!B$8:B$269)=0," ",LOOKUP(M54,PPTO!$J$8:J$269,PPTO!B$8:B$269))</f>
        <v xml:space="preserve"> </v>
      </c>
      <c r="C54" s="89" t="str">
        <f>IF(LOOKUP(M54,PPTO!$J$8:$J$269,PPTO!D$8:D$269)=0," ",LOOKUP(M54,PPTO!$J$8:$J$269,PPTO!D$8:D$269))</f>
        <v>UND</v>
      </c>
      <c r="D54" s="90" t="str">
        <f>IF(LOOKUP(M54,PPTO!$J$8:$J$269,PPTO!E$8:E$269)=0," ",LOOKUP(M54,PPTO!$J$8:$J$269,PPTO!E$8:E$269))</f>
        <v xml:space="preserve"> </v>
      </c>
      <c r="E54" s="90" t="str">
        <f>IF(LOOKUP(M54,PPTO!$J$8:$J$269,PPTO!F$8:F$269)=0," ",LOOKUP(M54,PPTO!$J$8:$J$269,PPTO!F$8:F$269))</f>
        <v xml:space="preserve"> </v>
      </c>
      <c r="F54" s="90" t="str">
        <f>IF(LOOKUP(M54,PPTO!$J$8:$J$269,PPTO!H$8:H$269)=0," ",LOOKUP(M54,PPTO!$J$8:$J$269,PPTO!H$8:H$269))</f>
        <v xml:space="preserve"> </v>
      </c>
      <c r="G54" s="178"/>
      <c r="H54" s="102" t="e">
        <f t="shared" si="1"/>
        <v>#VALUE!</v>
      </c>
      <c r="I54" s="174">
        <v>0</v>
      </c>
      <c r="J54" s="102" t="e">
        <f t="shared" si="2"/>
        <v>#VALUE!</v>
      </c>
      <c r="K54" s="102">
        <f>I54+IF(DATOS!$E$142&gt;0,IF(DATOS!$E$144&gt;0,IF(DATOS!$E$146&gt;0,IF(DATOS!$E$148&gt;0,IF(DATOS!$E$150&gt;0,IF(DATOS!$E$152&gt;0,IF(DATOS!$E$154&gt;0,IF(DATOS!$E$156&gt;0,IF(DATOS!$E$158&gt;0,IF(DATOS!$E$160&gt;0,'ACTA PARCIAL No.10'!K54,'ACTA PARCIAL No.9'!K54),'ACTA PARCIAL No.8'!K54),'ACTA PARCIAL No.7'!K54),'ACTA PARCIAL No.6'!K54),'ACTA PARCIAL No.5'!K54),'ACTA PARCIAL No.4'!K54),#REF!),#REF!),'ACTA PARCIAL No.1'!K54),0)</f>
        <v>0</v>
      </c>
      <c r="L54" s="102" t="e">
        <f t="shared" si="3"/>
        <v>#VALUE!</v>
      </c>
      <c r="M54" s="108">
        <f t="shared" si="0"/>
        <v>38</v>
      </c>
      <c r="O54" s="102"/>
    </row>
    <row r="55" spans="1:16">
      <c r="A55" s="87">
        <f>IF(LOOKUP(M55,PPTO!$J$8:$J$269,PPTO!A$8:A$269)=0," ",LOOKUP(M55,PPTO!$J$8:$J$269,PPTO!A$8:A$269))</f>
        <v>6</v>
      </c>
      <c r="B55" s="91" t="str">
        <f>IF(LOOKUP(M55,PPTO!$J$8:J$269,PPTO!B$8:B$269)=0," ",LOOKUP(M55,PPTO!$J$8:J$269,PPTO!B$8:B$269))</f>
        <v>CONSTRUCCION DE PAVIMENTOS</v>
      </c>
      <c r="C55" s="89" t="str">
        <f>IF(LOOKUP(M55,PPTO!$J$8:$J$269,PPTO!D$8:D$269)=0," ",LOOKUP(M55,PPTO!$J$8:$J$269,PPTO!D$8:D$269))</f>
        <v xml:space="preserve"> </v>
      </c>
      <c r="D55" s="90" t="str">
        <f>IF(LOOKUP(M55,PPTO!$J$8:$J$269,PPTO!E$8:E$269)=0," ",LOOKUP(M55,PPTO!$J$8:$J$269,PPTO!E$8:E$269))</f>
        <v xml:space="preserve"> </v>
      </c>
      <c r="E55" s="90" t="str">
        <f>IF(LOOKUP(M55,PPTO!$J$8:$J$269,PPTO!F$8:F$269)=0," ",LOOKUP(M55,PPTO!$J$8:$J$269,PPTO!F$8:F$269))</f>
        <v xml:space="preserve"> </v>
      </c>
      <c r="F55" s="90" t="str">
        <f>IF(LOOKUP(M55,PPTO!$J$8:$J$269,PPTO!H$8:H$269)=0," ",LOOKUP(M55,PPTO!$J$8:$J$269,PPTO!H$8:H$269))</f>
        <v xml:space="preserve"> </v>
      </c>
      <c r="G55" s="178"/>
      <c r="H55" s="102"/>
      <c r="I55" s="174"/>
      <c r="J55" s="102"/>
      <c r="K55" s="102"/>
      <c r="L55" s="102"/>
      <c r="M55" s="108">
        <f t="shared" si="0"/>
        <v>39</v>
      </c>
      <c r="O55" s="102"/>
    </row>
    <row r="56" spans="1:16">
      <c r="A56" s="87" t="str">
        <f>IF(LOOKUP(M56,PPTO!$J$8:$J$269,PPTO!A$8:A$269)=0," ",LOOKUP(M56,PPTO!$J$8:$J$269,PPTO!A$8:A$269))</f>
        <v>6.01</v>
      </c>
      <c r="B56" s="91" t="str">
        <f>IF(LOOKUP(M56,PPTO!$J$8:J$269,PPTO!B$8:B$269)=0," ",LOOKUP(M56,PPTO!$J$8:J$269,PPTO!B$8:B$269))</f>
        <v xml:space="preserve"> </v>
      </c>
      <c r="C56" s="89" t="str">
        <f>IF(LOOKUP(M56,PPTO!$J$8:$J$269,PPTO!D$8:D$269)=0," ",LOOKUP(M56,PPTO!$J$8:$J$269,PPTO!D$8:D$269))</f>
        <v>M2</v>
      </c>
      <c r="D56" s="90" t="str">
        <f>IF(LOOKUP(M56,PPTO!$J$8:$J$269,PPTO!E$8:E$269)=0," ",LOOKUP(M56,PPTO!$J$8:$J$269,PPTO!E$8:E$269))</f>
        <v xml:space="preserve"> </v>
      </c>
      <c r="E56" s="90" t="str">
        <f>IF(LOOKUP(M56,PPTO!$J$8:$J$269,PPTO!F$8:F$269)=0," ",LOOKUP(M56,PPTO!$J$8:$J$269,PPTO!F$8:F$269))</f>
        <v xml:space="preserve"> </v>
      </c>
      <c r="F56" s="90" t="str">
        <f>IF(LOOKUP(M56,PPTO!$J$8:$J$269,PPTO!H$8:H$269)=0," ",LOOKUP(M56,PPTO!$J$8:$J$269,PPTO!H$8:H$269))</f>
        <v xml:space="preserve"> </v>
      </c>
      <c r="G56" s="178"/>
      <c r="H56" s="102" t="e">
        <f t="shared" si="1"/>
        <v>#VALUE!</v>
      </c>
      <c r="I56" s="174">
        <v>0</v>
      </c>
      <c r="J56" s="102" t="e">
        <f t="shared" si="2"/>
        <v>#VALUE!</v>
      </c>
      <c r="K56" s="102">
        <f>I56+IF(DATOS!$E$142&gt;0,IF(DATOS!$E$144&gt;0,IF(DATOS!$E$146&gt;0,IF(DATOS!$E$148&gt;0,IF(DATOS!$E$150&gt;0,IF(DATOS!$E$152&gt;0,IF(DATOS!$E$154&gt;0,IF(DATOS!$E$156&gt;0,IF(DATOS!$E$158&gt;0,IF(DATOS!$E$160&gt;0,'ACTA PARCIAL No.10'!K56,'ACTA PARCIAL No.9'!K56),'ACTA PARCIAL No.8'!K56),'ACTA PARCIAL No.7'!K56),'ACTA PARCIAL No.6'!K56),'ACTA PARCIAL No.5'!K56),'ACTA PARCIAL No.4'!K56),#REF!),#REF!),'ACTA PARCIAL No.1'!K56),0)</f>
        <v>0</v>
      </c>
      <c r="L56" s="102" t="e">
        <f t="shared" si="3"/>
        <v>#VALUE!</v>
      </c>
      <c r="M56" s="108">
        <f t="shared" si="0"/>
        <v>40</v>
      </c>
      <c r="O56" s="102"/>
      <c r="P56" s="323"/>
    </row>
    <row r="57" spans="1:16">
      <c r="A57" s="87" t="str">
        <f>IF(LOOKUP(M57,PPTO!$J$8:$J$269,PPTO!A$8:A$269)=0," ",LOOKUP(M57,PPTO!$J$8:$J$269,PPTO!A$8:A$269))</f>
        <v>6.02</v>
      </c>
      <c r="B57" s="91" t="str">
        <f>IF(LOOKUP(M57,PPTO!$J$8:J$269,PPTO!B$8:B$269)=0," ",LOOKUP(M57,PPTO!$J$8:J$269,PPTO!B$8:B$269))</f>
        <v xml:space="preserve"> </v>
      </c>
      <c r="C57" s="89" t="str">
        <f>IF(LOOKUP(M57,PPTO!$J$8:$J$269,PPTO!D$8:D$269)=0," ",LOOKUP(M57,PPTO!$J$8:$J$269,PPTO!D$8:D$269))</f>
        <v>M3</v>
      </c>
      <c r="D57" s="90" t="str">
        <f>IF(LOOKUP(M57,PPTO!$J$8:$J$269,PPTO!E$8:E$269)=0," ",LOOKUP(M57,PPTO!$J$8:$J$269,PPTO!E$8:E$269))</f>
        <v xml:space="preserve"> </v>
      </c>
      <c r="E57" s="90" t="str">
        <f>IF(LOOKUP(M57,PPTO!$J$8:$J$269,PPTO!F$8:F$269)=0," ",LOOKUP(M57,PPTO!$J$8:$J$269,PPTO!F$8:F$269))</f>
        <v xml:space="preserve"> </v>
      </c>
      <c r="F57" s="90" t="str">
        <f>IF(LOOKUP(M57,PPTO!$J$8:$J$269,PPTO!H$8:H$269)=0," ",LOOKUP(M57,PPTO!$J$8:$J$269,PPTO!H$8:H$269))</f>
        <v xml:space="preserve"> </v>
      </c>
      <c r="G57" s="178"/>
      <c r="H57" s="102" t="e">
        <f t="shared" si="1"/>
        <v>#VALUE!</v>
      </c>
      <c r="I57" s="174">
        <v>0</v>
      </c>
      <c r="J57" s="102" t="e">
        <f t="shared" si="2"/>
        <v>#VALUE!</v>
      </c>
      <c r="K57" s="102">
        <f>I57+IF(DATOS!$E$142&gt;0,IF(DATOS!$E$144&gt;0,IF(DATOS!$E$146&gt;0,IF(DATOS!$E$148&gt;0,IF(DATOS!$E$150&gt;0,IF(DATOS!$E$152&gt;0,IF(DATOS!$E$154&gt;0,IF(DATOS!$E$156&gt;0,IF(DATOS!$E$158&gt;0,IF(DATOS!$E$160&gt;0,'ACTA PARCIAL No.10'!K57,'ACTA PARCIAL No.9'!K57),'ACTA PARCIAL No.8'!K57),'ACTA PARCIAL No.7'!K57),'ACTA PARCIAL No.6'!K57),'ACTA PARCIAL No.5'!K57),'ACTA PARCIAL No.4'!K57),#REF!),#REF!),'ACTA PARCIAL No.1'!K57),0)</f>
        <v>0</v>
      </c>
      <c r="L57" s="102" t="e">
        <f t="shared" si="3"/>
        <v>#VALUE!</v>
      </c>
      <c r="M57" s="108">
        <f t="shared" si="0"/>
        <v>41</v>
      </c>
      <c r="O57" s="102"/>
      <c r="P57" s="323"/>
    </row>
    <row r="58" spans="1:16">
      <c r="A58" s="87" t="str">
        <f>IF(LOOKUP(M58,PPTO!$J$8:$J$269,PPTO!A$8:A$269)=0," ",LOOKUP(M58,PPTO!$J$8:$J$269,PPTO!A$8:A$269))</f>
        <v>6.04</v>
      </c>
      <c r="B58" s="91" t="str">
        <f>IF(LOOKUP(M58,PPTO!$J$8:J$269,PPTO!B$8:B$269)=0," ",LOOKUP(M58,PPTO!$J$8:J$269,PPTO!B$8:B$269))</f>
        <v xml:space="preserve"> </v>
      </c>
      <c r="C58" s="89" t="str">
        <f>IF(LOOKUP(M58,PPTO!$J$8:$J$269,PPTO!D$8:D$269)=0," ",LOOKUP(M58,PPTO!$J$8:$J$269,PPTO!D$8:D$269))</f>
        <v>M2</v>
      </c>
      <c r="D58" s="90" t="str">
        <f>IF(LOOKUP(M58,PPTO!$J$8:$J$269,PPTO!E$8:E$269)=0," ",LOOKUP(M58,PPTO!$J$8:$J$269,PPTO!E$8:E$269))</f>
        <v xml:space="preserve"> </v>
      </c>
      <c r="E58" s="90" t="str">
        <f>IF(LOOKUP(M58,PPTO!$J$8:$J$269,PPTO!F$8:F$269)=0," ",LOOKUP(M58,PPTO!$J$8:$J$269,PPTO!F$8:F$269))</f>
        <v xml:space="preserve"> </v>
      </c>
      <c r="F58" s="90" t="str">
        <f>IF(LOOKUP(M58,PPTO!$J$8:$J$269,PPTO!H$8:H$269)=0," ",LOOKUP(M58,PPTO!$J$8:$J$269,PPTO!H$8:H$269))</f>
        <v xml:space="preserve"> </v>
      </c>
      <c r="G58" s="178"/>
      <c r="H58" s="102" t="e">
        <f t="shared" si="1"/>
        <v>#VALUE!</v>
      </c>
      <c r="I58" s="174">
        <v>0</v>
      </c>
      <c r="J58" s="102" t="e">
        <f t="shared" si="2"/>
        <v>#VALUE!</v>
      </c>
      <c r="K58" s="102">
        <f>I58+IF(DATOS!$E$142&gt;0,IF(DATOS!$E$144&gt;0,IF(DATOS!$E$146&gt;0,IF(DATOS!$E$148&gt;0,IF(DATOS!$E$150&gt;0,IF(DATOS!$E$152&gt;0,IF(DATOS!$E$154&gt;0,IF(DATOS!$E$156&gt;0,IF(DATOS!$E$158&gt;0,IF(DATOS!$E$160&gt;0,'ACTA PARCIAL No.10'!K58,'ACTA PARCIAL No.9'!K58),'ACTA PARCIAL No.8'!K58),'ACTA PARCIAL No.7'!K58),'ACTA PARCIAL No.6'!K58),'ACTA PARCIAL No.5'!K58),'ACTA PARCIAL No.4'!K58),#REF!),#REF!),'ACTA PARCIAL No.1'!K58),0)</f>
        <v>0</v>
      </c>
      <c r="L58" s="102" t="e">
        <f t="shared" si="3"/>
        <v>#VALUE!</v>
      </c>
      <c r="M58" s="108">
        <f t="shared" si="0"/>
        <v>42</v>
      </c>
      <c r="O58" s="102"/>
    </row>
    <row r="59" spans="1:16">
      <c r="A59" s="87" t="str">
        <f>IF(LOOKUP(M59,PPTO!$J$8:$J$269,PPTO!A$8:A$269)=0," ",LOOKUP(M59,PPTO!$J$8:$J$269,PPTO!A$8:A$269))</f>
        <v>6.05</v>
      </c>
      <c r="B59" s="91" t="str">
        <f>IF(LOOKUP(M59,PPTO!$J$8:J$269,PPTO!B$8:B$269)=0," ",LOOKUP(M59,PPTO!$J$8:J$269,PPTO!B$8:B$269))</f>
        <v xml:space="preserve"> </v>
      </c>
      <c r="C59" s="89" t="str">
        <f>IF(LOOKUP(M59,PPTO!$J$8:$J$269,PPTO!D$8:D$269)=0," ",LOOKUP(M59,PPTO!$J$8:$J$269,PPTO!D$8:D$269))</f>
        <v>ML</v>
      </c>
      <c r="D59" s="90" t="str">
        <f>IF(LOOKUP(M59,PPTO!$J$8:$J$269,PPTO!E$8:E$269)=0," ",LOOKUP(M59,PPTO!$J$8:$J$269,PPTO!E$8:E$269))</f>
        <v xml:space="preserve"> </v>
      </c>
      <c r="E59" s="90" t="str">
        <f>IF(LOOKUP(M59,PPTO!$J$8:$J$269,PPTO!F$8:F$269)=0," ",LOOKUP(M59,PPTO!$J$8:$J$269,PPTO!F$8:F$269))</f>
        <v xml:space="preserve"> </v>
      </c>
      <c r="F59" s="90" t="str">
        <f>IF(LOOKUP(M59,PPTO!$J$8:$J$269,PPTO!H$8:H$269)=0," ",LOOKUP(M59,PPTO!$J$8:$J$269,PPTO!H$8:H$269))</f>
        <v xml:space="preserve"> </v>
      </c>
      <c r="G59" s="178"/>
      <c r="H59" s="102" t="e">
        <f t="shared" si="1"/>
        <v>#VALUE!</v>
      </c>
      <c r="I59" s="174">
        <v>0</v>
      </c>
      <c r="J59" s="102" t="e">
        <f t="shared" si="2"/>
        <v>#VALUE!</v>
      </c>
      <c r="K59" s="102">
        <f>I59+IF(DATOS!$E$142&gt;0,IF(DATOS!$E$144&gt;0,IF(DATOS!$E$146&gt;0,IF(DATOS!$E$148&gt;0,IF(DATOS!$E$150&gt;0,IF(DATOS!$E$152&gt;0,IF(DATOS!$E$154&gt;0,IF(DATOS!$E$156&gt;0,IF(DATOS!$E$158&gt;0,IF(DATOS!$E$160&gt;0,'ACTA PARCIAL No.10'!K59,'ACTA PARCIAL No.9'!K59),'ACTA PARCIAL No.8'!K59),'ACTA PARCIAL No.7'!K59),'ACTA PARCIAL No.6'!K59),'ACTA PARCIAL No.5'!K59),'ACTA PARCIAL No.4'!K59),#REF!),#REF!),'ACTA PARCIAL No.1'!K59),0)</f>
        <v>0</v>
      </c>
      <c r="L59" s="102" t="e">
        <f t="shared" si="3"/>
        <v>#VALUE!</v>
      </c>
      <c r="M59" s="108">
        <f t="shared" si="0"/>
        <v>43</v>
      </c>
      <c r="O59" s="102"/>
    </row>
    <row r="60" spans="1:16">
      <c r="A60" s="87" t="str">
        <f>IF(LOOKUP(M60,PPTO!$J$8:$J$269,PPTO!A$8:A$269)=0," ",LOOKUP(M60,PPTO!$J$8:$J$269,PPTO!A$8:A$269))</f>
        <v>6.06</v>
      </c>
      <c r="B60" s="91" t="str">
        <f>IF(LOOKUP(M60,PPTO!$J$8:J$269,PPTO!B$8:B$269)=0," ",LOOKUP(M60,PPTO!$J$8:J$269,PPTO!B$8:B$269))</f>
        <v xml:space="preserve"> </v>
      </c>
      <c r="C60" s="89" t="str">
        <f>IF(LOOKUP(M60,PPTO!$J$8:$J$269,PPTO!D$8:D$269)=0," ",LOOKUP(M60,PPTO!$J$8:$J$269,PPTO!D$8:D$269))</f>
        <v>M2</v>
      </c>
      <c r="D60" s="90" t="str">
        <f>IF(LOOKUP(M60,PPTO!$J$8:$J$269,PPTO!E$8:E$269)=0," ",LOOKUP(M60,PPTO!$J$8:$J$269,PPTO!E$8:E$269))</f>
        <v xml:space="preserve"> </v>
      </c>
      <c r="E60" s="90" t="str">
        <f>IF(LOOKUP(M60,PPTO!$J$8:$J$269,PPTO!F$8:F$269)=0," ",LOOKUP(M60,PPTO!$J$8:$J$269,PPTO!F$8:F$269))</f>
        <v xml:space="preserve"> </v>
      </c>
      <c r="F60" s="90" t="str">
        <f>IF(LOOKUP(M60,PPTO!$J$8:$J$269,PPTO!H$8:H$269)=0," ",LOOKUP(M60,PPTO!$J$8:$J$269,PPTO!H$8:H$269))</f>
        <v xml:space="preserve"> </v>
      </c>
      <c r="G60" s="178"/>
      <c r="H60" s="102" t="e">
        <f t="shared" si="1"/>
        <v>#VALUE!</v>
      </c>
      <c r="I60" s="174">
        <v>0</v>
      </c>
      <c r="J60" s="102" t="e">
        <f t="shared" si="2"/>
        <v>#VALUE!</v>
      </c>
      <c r="K60" s="102">
        <f>I60+IF(DATOS!$E$142&gt;0,IF(DATOS!$E$144&gt;0,IF(DATOS!$E$146&gt;0,IF(DATOS!$E$148&gt;0,IF(DATOS!$E$150&gt;0,IF(DATOS!$E$152&gt;0,IF(DATOS!$E$154&gt;0,IF(DATOS!$E$156&gt;0,IF(DATOS!$E$158&gt;0,IF(DATOS!$E$160&gt;0,'ACTA PARCIAL No.10'!K60,'ACTA PARCIAL No.9'!K60),'ACTA PARCIAL No.8'!K60),'ACTA PARCIAL No.7'!K60),'ACTA PARCIAL No.6'!K60),'ACTA PARCIAL No.5'!K60),'ACTA PARCIAL No.4'!K60),#REF!),#REF!),'ACTA PARCIAL No.1'!K60),0)</f>
        <v>0</v>
      </c>
      <c r="L60" s="102" t="e">
        <f t="shared" si="3"/>
        <v>#VALUE!</v>
      </c>
      <c r="M60" s="108">
        <f t="shared" si="0"/>
        <v>44</v>
      </c>
      <c r="O60" s="102"/>
    </row>
    <row r="61" spans="1:16">
      <c r="A61" s="87"/>
      <c r="B61" s="154"/>
      <c r="C61" s="155"/>
      <c r="D61" s="156"/>
      <c r="E61" s="156"/>
      <c r="F61" s="176"/>
      <c r="G61" s="179"/>
      <c r="H61" s="177"/>
      <c r="I61" s="174"/>
      <c r="J61" s="102"/>
      <c r="K61" s="102"/>
      <c r="L61" s="102"/>
      <c r="M61" s="108"/>
      <c r="O61" s="102"/>
    </row>
    <row r="62" spans="1:16">
      <c r="A62" s="87"/>
      <c r="B62" s="275" t="s">
        <v>348</v>
      </c>
      <c r="C62" s="276"/>
      <c r="D62" s="277"/>
      <c r="E62" s="277"/>
      <c r="F62" s="277">
        <v>0</v>
      </c>
      <c r="G62" s="278"/>
      <c r="H62" s="278">
        <v>0</v>
      </c>
      <c r="I62" s="279"/>
      <c r="J62" s="279">
        <v>0</v>
      </c>
      <c r="K62" s="279"/>
      <c r="L62" s="279">
        <v>0</v>
      </c>
      <c r="M62" s="108"/>
      <c r="O62" s="102"/>
    </row>
    <row r="63" spans="1:16" ht="12.75" thickBot="1">
      <c r="A63" s="87"/>
      <c r="B63" s="154"/>
      <c r="C63" s="155"/>
      <c r="D63" s="156"/>
      <c r="E63" s="156"/>
      <c r="F63" s="156"/>
      <c r="G63" s="161"/>
      <c r="H63" s="161"/>
      <c r="I63" s="102"/>
      <c r="J63" s="102"/>
      <c r="K63" s="102"/>
      <c r="L63" s="102"/>
      <c r="M63" s="108"/>
      <c r="O63" s="102"/>
    </row>
    <row r="64" spans="1:16" ht="12.75" thickBot="1">
      <c r="A64" s="87"/>
      <c r="B64" s="280" t="s">
        <v>323</v>
      </c>
      <c r="C64" s="281"/>
      <c r="D64" s="282"/>
      <c r="E64" s="282"/>
      <c r="F64" s="283">
        <f>SUM(F19:F63)</f>
        <v>0</v>
      </c>
      <c r="G64" s="284"/>
      <c r="H64" s="283" t="e">
        <f>SUM(H19:H63)</f>
        <v>#VALUE!</v>
      </c>
      <c r="I64" s="284"/>
      <c r="J64" s="283" t="e">
        <f>SUM(J19:J63)</f>
        <v>#VALUE!</v>
      </c>
      <c r="K64" s="284"/>
      <c r="L64" s="283" t="e">
        <f>SUM(L19:L63)</f>
        <v>#VALUE!</v>
      </c>
      <c r="M64" s="108"/>
      <c r="O64" s="102"/>
    </row>
    <row r="65" spans="1:15">
      <c r="A65" s="87"/>
      <c r="B65" s="285" t="s">
        <v>174</v>
      </c>
      <c r="C65" s="286" t="s">
        <v>296</v>
      </c>
      <c r="D65" s="287">
        <f>DATOS!E184</f>
        <v>18.5</v>
      </c>
      <c r="E65" s="288"/>
      <c r="F65" s="288">
        <f>ROUND(F$64*$D$65/100,0)</f>
        <v>0</v>
      </c>
      <c r="G65" s="289"/>
      <c r="H65" s="288" t="e">
        <f>ROUND(H$64*$D$65/100,0)</f>
        <v>#VALUE!</v>
      </c>
      <c r="I65" s="289"/>
      <c r="J65" s="288" t="e">
        <f>ROUND(J$64*$D$65/100,0)</f>
        <v>#VALUE!</v>
      </c>
      <c r="K65" s="289"/>
      <c r="L65" s="288" t="e">
        <f>ROUND(L$64*$D$65/100,0)</f>
        <v>#VALUE!</v>
      </c>
      <c r="M65" s="108"/>
      <c r="O65" s="102"/>
    </row>
    <row r="66" spans="1:15">
      <c r="A66" s="87"/>
      <c r="B66" s="290" t="s">
        <v>166</v>
      </c>
      <c r="C66" s="291" t="s">
        <v>296</v>
      </c>
      <c r="D66" s="292">
        <f>DATOS!E186</f>
        <v>5</v>
      </c>
      <c r="E66" s="293"/>
      <c r="F66" s="288">
        <f>ROUND(F$64*$D$66/100,0)</f>
        <v>0</v>
      </c>
      <c r="G66" s="279"/>
      <c r="H66" s="288" t="e">
        <f>ROUND(H$64*$D$66/100,0)</f>
        <v>#VALUE!</v>
      </c>
      <c r="I66" s="279"/>
      <c r="J66" s="288" t="e">
        <f>ROUND(J$64*$D$66/100,0)</f>
        <v>#VALUE!</v>
      </c>
      <c r="K66" s="279"/>
      <c r="L66" s="288" t="e">
        <f>ROUND(L$64*$D$66/100,0)</f>
        <v>#VALUE!</v>
      </c>
      <c r="M66" s="108"/>
      <c r="O66" s="102"/>
    </row>
    <row r="67" spans="1:15" ht="12.75" thickBot="1">
      <c r="A67" s="87"/>
      <c r="B67" s="294" t="s">
        <v>167</v>
      </c>
      <c r="C67" s="295" t="s">
        <v>296</v>
      </c>
      <c r="D67" s="292">
        <f>DATOS!E188</f>
        <v>8</v>
      </c>
      <c r="E67" s="293"/>
      <c r="F67" s="288">
        <f>ROUND(F$64*$D$67/100,0)</f>
        <v>0</v>
      </c>
      <c r="G67" s="279"/>
      <c r="H67" s="288" t="e">
        <f>ROUND(H$64*$D$67/100,0)</f>
        <v>#VALUE!</v>
      </c>
      <c r="I67" s="279"/>
      <c r="J67" s="288" t="e">
        <f>ROUND(J$64*$D$67/100,0)</f>
        <v>#VALUE!</v>
      </c>
      <c r="K67" s="279"/>
      <c r="L67" s="288" t="e">
        <f>ROUND(L$64*$D$67/100,0)</f>
        <v>#VALUE!</v>
      </c>
      <c r="M67" s="108"/>
      <c r="O67" s="102"/>
    </row>
    <row r="68" spans="1:15" ht="12.75" thickBot="1">
      <c r="A68" s="87"/>
      <c r="B68" s="280" t="s">
        <v>324</v>
      </c>
      <c r="C68" s="281"/>
      <c r="D68" s="282"/>
      <c r="E68" s="282"/>
      <c r="F68" s="283">
        <f>SUM(F65:F67)</f>
        <v>0</v>
      </c>
      <c r="G68" s="284"/>
      <c r="H68" s="283" t="e">
        <f>SUM(H65:H67)</f>
        <v>#VALUE!</v>
      </c>
      <c r="I68" s="284"/>
      <c r="J68" s="283" t="e">
        <f>SUM(J65:J67)</f>
        <v>#VALUE!</v>
      </c>
      <c r="K68" s="284"/>
      <c r="L68" s="283" t="e">
        <f>SUM(L65:L67)</f>
        <v>#VALUE!</v>
      </c>
      <c r="M68" s="108"/>
      <c r="O68" s="102"/>
    </row>
    <row r="69" spans="1:15" ht="19.149999999999999" customHeight="1" thickBot="1">
      <c r="A69" s="87"/>
      <c r="B69" s="1150"/>
      <c r="C69" s="1150"/>
      <c r="D69" s="293"/>
      <c r="E69" s="293"/>
      <c r="F69" s="293"/>
      <c r="G69" s="279"/>
      <c r="H69" s="293"/>
      <c r="I69" s="279"/>
      <c r="J69" s="293"/>
      <c r="K69" s="279"/>
      <c r="L69" s="293"/>
      <c r="M69" s="108"/>
      <c r="O69" s="102"/>
    </row>
    <row r="70" spans="1:15" ht="12.75" thickBot="1">
      <c r="A70" s="87"/>
      <c r="B70" s="280" t="s">
        <v>325</v>
      </c>
      <c r="C70" s="281"/>
      <c r="D70" s="282"/>
      <c r="E70" s="282"/>
      <c r="F70" s="283">
        <f>F64+F68</f>
        <v>0</v>
      </c>
      <c r="G70" s="284"/>
      <c r="H70" s="283" t="e">
        <f>H64+H68</f>
        <v>#VALUE!</v>
      </c>
      <c r="I70" s="284"/>
      <c r="J70" s="283" t="e">
        <f>J64+J68</f>
        <v>#VALUE!</v>
      </c>
      <c r="K70" s="284"/>
      <c r="L70" s="283" t="e">
        <f>L64+L68</f>
        <v>#VALUE!</v>
      </c>
      <c r="M70" s="108"/>
      <c r="O70" s="102"/>
    </row>
    <row r="71" spans="1:15">
      <c r="A71" s="87" t="str">
        <f>IF(LOOKUP(M71,PPTO!$J$8:$J$269,PPTO!A$8:A$269)=0," ",LOOKUP(M71,PPTO!$J$8:$J$269,PPTO!A$8:A$269))</f>
        <v xml:space="preserve"> </v>
      </c>
      <c r="B71" s="88" t="str">
        <f>IF(LOOKUP(M71,PPTO!$J$8:J$269,PPTO!B$8:B$269)=0," ",LOOKUP(M71,PPTO!$J$8:J$269,PPTO!B$8:B$269))</f>
        <v xml:space="preserve"> </v>
      </c>
      <c r="C71" s="89" t="str">
        <f>IF(LOOKUP(M71,PPTO!$J$8:$J$269,PPTO!D$8:D$269)=0," ",LOOKUP(M71,PPTO!$J$8:$J$269,PPTO!D$8:D$269))</f>
        <v xml:space="preserve"> </v>
      </c>
      <c r="D71" s="90" t="str">
        <f>IF(LOOKUP(M71,PPTO!$J$8:$J$269,PPTO!E$8:E$269)=0," ",LOOKUP(M71,PPTO!$J$8:$J$269,PPTO!E$8:E$269))</f>
        <v xml:space="preserve"> </v>
      </c>
      <c r="E71" s="90" t="str">
        <f>IF(LOOKUP(M71,PPTO!$J$8:$J$269,PPTO!F$8:F$269)=0," ",LOOKUP(M71,PPTO!$J$8:$J$269,PPTO!F$8:F$269))</f>
        <v xml:space="preserve"> </v>
      </c>
      <c r="F71" s="97" t="str">
        <f>IF(LOOKUP(M71,PPTO!$J$8:$J$269,PPTO!H$8:H$269)=0," ",LOOKUP(M71,PPTO!$J$8:$J$269,PPTO!H$8:H$269))</f>
        <v xml:space="preserve"> </v>
      </c>
      <c r="G71" s="102"/>
      <c r="H71" s="102"/>
      <c r="I71" s="102"/>
      <c r="J71" s="102"/>
      <c r="K71" s="102"/>
      <c r="L71" s="102"/>
      <c r="M71" s="108">
        <v>45</v>
      </c>
      <c r="O71" s="102"/>
    </row>
    <row r="72" spans="1:15">
      <c r="A72" s="92">
        <f>IF(LOOKUP(M72,PPTO!$J$8:$J$269,PPTO!A$8:A$269)=0," ",LOOKUP(M72,PPTO!$J$8:$J$269,PPTO!A$8:A$269))</f>
        <v>7</v>
      </c>
      <c r="B72" s="88" t="str">
        <f>IF(LOOKUP(M72,PPTO!$J$8:J$269,PPTO!B$8:B$269)=0," ",LOOKUP(M72,PPTO!$J$8:J$269,PPTO!B$8:B$269))</f>
        <v>SUMINISTRO DE TUBERIA</v>
      </c>
      <c r="C72" s="145" t="str">
        <f>IF(LOOKUP(M72,PPTO!$J$8:$J$269,PPTO!D$8:D$269)=0," ",LOOKUP(M72,PPTO!$J$8:$J$269,PPTO!D$8:D$269))</f>
        <v xml:space="preserve"> </v>
      </c>
      <c r="D72" s="144" t="str">
        <f>IF(LOOKUP(M72,PPTO!$J$8:$J$269,PPTO!E$8:E$269)=0," ",LOOKUP(M72,PPTO!$J$8:$J$269,PPTO!E$8:E$269))</f>
        <v xml:space="preserve"> </v>
      </c>
      <c r="E72" s="90" t="str">
        <f>IF(LOOKUP(M72,PPTO!$J$8:$J$269,PPTO!F$8:F$269)=0," ",LOOKUP(M72,PPTO!$J$8:$J$269,PPTO!F$8:F$269))</f>
        <v xml:space="preserve"> </v>
      </c>
      <c r="F72" s="90" t="str">
        <f>IF(LOOKUP(M72,PPTO!$J$8:$J$269,PPTO!H$8:H$269)=0," ",LOOKUP(M72,PPTO!$J$8:$J$269,PPTO!H$8:H$269))</f>
        <v xml:space="preserve"> </v>
      </c>
      <c r="G72" s="178"/>
      <c r="H72" s="102"/>
      <c r="I72" s="174"/>
      <c r="J72" s="102"/>
      <c r="K72" s="102"/>
      <c r="L72" s="102"/>
      <c r="M72" s="108">
        <f t="shared" ref="M72:M77" si="4">M71+1</f>
        <v>46</v>
      </c>
      <c r="O72" s="102"/>
    </row>
    <row r="73" spans="1:15" ht="24">
      <c r="A73" s="87" t="str">
        <f>IF(LOOKUP(M73,PPTO!$J$8:$J$269,PPTO!A$8:A$269)=0," ",LOOKUP(M73,PPTO!$J$8:$J$269,PPTO!A$8:A$269))</f>
        <v>7.01</v>
      </c>
      <c r="B73" s="91" t="str">
        <f>IF(LOOKUP(M73,PPTO!$J$8:J$269,PPTO!B$8:B$269)=0," ",LOOKUP(M73,PPTO!$J$8:J$269,PPTO!B$8:B$269))</f>
        <v>SUM DE TUBERIA PVC UNION MECANICA PARA ALCANTARILLADOS 6", 160 MM</v>
      </c>
      <c r="C73" s="145" t="str">
        <f>IF(LOOKUP(M73,PPTO!$J$8:$J$269,PPTO!D$8:D$269)=0," ",LOOKUP(M73,PPTO!$J$8:$J$269,PPTO!D$8:D$269))</f>
        <v>ML</v>
      </c>
      <c r="D73" s="90" t="str">
        <f>IF(LOOKUP(M73,PPTO!$J$8:$J$269,PPTO!E$8:E$269)=0," ",LOOKUP(M73,PPTO!$J$8:$J$269,PPTO!E$8:E$269))</f>
        <v xml:space="preserve"> </v>
      </c>
      <c r="E73" s="90" t="str">
        <f>IF(LOOKUP(M73,PPTO!$J$8:$J$269,PPTO!F$8:F$269)=0," ",LOOKUP(M73,PPTO!$J$8:$J$269,PPTO!F$8:F$269))</f>
        <v xml:space="preserve"> </v>
      </c>
      <c r="F73" s="90" t="str">
        <f>IF(LOOKUP(M73,PPTO!$J$8:$J$269,PPTO!H$8:H$269)=0," ",LOOKUP(M73,PPTO!$J$8:$J$269,PPTO!H$8:H$269))</f>
        <v xml:space="preserve"> </v>
      </c>
      <c r="G73" s="178">
        <v>7554</v>
      </c>
      <c r="H73" s="102" t="e">
        <f t="shared" ref="H73:H77" si="5">ROUND(G73*E73,0)</f>
        <v>#VALUE!</v>
      </c>
      <c r="I73" s="174">
        <v>0</v>
      </c>
      <c r="J73" s="102" t="e">
        <f t="shared" ref="J73:J77" si="6">ROUND(I73*E73,0)</f>
        <v>#VALUE!</v>
      </c>
      <c r="K73" s="102">
        <f>I73+IF(DATOS!$E$142&gt;0,IF(DATOS!$E$144&gt;0,IF(DATOS!$E$146&gt;0,IF(DATOS!$E$148&gt;0,IF(DATOS!$E$150&gt;0,IF(DATOS!$E$152&gt;0,IF(DATOS!$E$154&gt;0,IF(DATOS!$E$156&gt;0,IF(DATOS!$E$158&gt;0,IF(DATOS!$E$160&gt;0,'ACTA PARCIAL No.10'!K73,'ACTA PARCIAL No.9'!K73),'ACTA PARCIAL No.8'!K73),'ACTA PARCIAL No.7'!K73),'ACTA PARCIAL No.6'!K73),'ACTA PARCIAL No.5'!K73),'ACTA PARCIAL No.4'!K73),#REF!),#REF!),'ACTA PARCIAL No.1'!K73),0)</f>
        <v>0</v>
      </c>
      <c r="L73" s="102" t="e">
        <f t="shared" ref="L73:L77" si="7">ROUND(K73*E73,0)</f>
        <v>#VALUE!</v>
      </c>
      <c r="M73" s="108">
        <f t="shared" si="4"/>
        <v>47</v>
      </c>
      <c r="O73" s="102"/>
    </row>
    <row r="74" spans="1:15">
      <c r="A74" s="87" t="str">
        <f>IF(LOOKUP(M74,PPTO!$J$8:$J$269,PPTO!A$8:A$269)=0," ",LOOKUP(M74,PPTO!$J$8:$J$269,PPTO!A$8:A$269))</f>
        <v>7.02</v>
      </c>
      <c r="B74" s="91" t="str">
        <f>IF(LOOKUP(M74,PPTO!$J$8:J$269,PPTO!B$8:B$269)=0," ",LOOKUP(M74,PPTO!$J$8:J$269,PPTO!B$8:B$269))</f>
        <v>SUM TUB PVC 8" ALC</v>
      </c>
      <c r="C74" s="145" t="str">
        <f>IF(LOOKUP(M74,PPTO!$J$8:$J$269,PPTO!D$8:D$269)=0," ",LOOKUP(M74,PPTO!$J$8:$J$269,PPTO!D$8:D$269))</f>
        <v>ML</v>
      </c>
      <c r="D74" s="90" t="str">
        <f>IF(LOOKUP(M74,PPTO!$J$8:$J$269,PPTO!E$8:E$269)=0," ",LOOKUP(M74,PPTO!$J$8:$J$269,PPTO!E$8:E$269))</f>
        <v xml:space="preserve"> </v>
      </c>
      <c r="E74" s="90" t="str">
        <f>IF(LOOKUP(M74,PPTO!$J$8:$J$269,PPTO!F$8:F$269)=0," ",LOOKUP(M74,PPTO!$J$8:$J$269,PPTO!F$8:F$269))</f>
        <v xml:space="preserve"> </v>
      </c>
      <c r="F74" s="90" t="str">
        <f>IF(LOOKUP(M74,PPTO!$J$8:$J$269,PPTO!H$8:H$269)=0," ",LOOKUP(M74,PPTO!$J$8:$J$269,PPTO!H$8:H$269))</f>
        <v xml:space="preserve"> </v>
      </c>
      <c r="G74" s="178">
        <v>10629.07</v>
      </c>
      <c r="H74" s="102" t="e">
        <f t="shared" si="5"/>
        <v>#VALUE!</v>
      </c>
      <c r="I74" s="174">
        <v>629.07000000000005</v>
      </c>
      <c r="J74" s="102" t="e">
        <f t="shared" si="6"/>
        <v>#VALUE!</v>
      </c>
      <c r="K74" s="102">
        <f>I74+IF(DATOS!$E$142&gt;0,IF(DATOS!$E$144&gt;0,IF(DATOS!$E$146&gt;0,IF(DATOS!$E$148&gt;0,IF(DATOS!$E$150&gt;0,IF(DATOS!$E$152&gt;0,IF(DATOS!$E$154&gt;0,IF(DATOS!$E$156&gt;0,IF(DATOS!$E$158&gt;0,IF(DATOS!$E$160&gt;0,'ACTA PARCIAL No.10'!K74,'ACTA PARCIAL No.9'!K74),'ACTA PARCIAL No.8'!K74),'ACTA PARCIAL No.7'!K74),'ACTA PARCIAL No.6'!K74),'ACTA PARCIAL No.5'!K74),'ACTA PARCIAL No.4'!K74),#REF!),#REF!),'ACTA PARCIAL No.1'!K74),0)</f>
        <v>629.07000000000005</v>
      </c>
      <c r="L74" s="102" t="e">
        <f t="shared" si="7"/>
        <v>#VALUE!</v>
      </c>
      <c r="M74" s="108">
        <f t="shared" si="4"/>
        <v>48</v>
      </c>
      <c r="O74" s="102"/>
    </row>
    <row r="75" spans="1:15">
      <c r="A75" s="87" t="str">
        <f>IF(LOOKUP(M75,PPTO!$J$8:$J$269,PPTO!A$8:A$269)=0," ",LOOKUP(M75,PPTO!$J$8:$J$269,PPTO!A$8:A$269))</f>
        <v>7.03</v>
      </c>
      <c r="B75" s="91" t="str">
        <f>IF(LOOKUP(M75,PPTO!$J$8:J$269,PPTO!B$8:B$269)=0," ",LOOKUP(M75,PPTO!$J$8:J$269,PPTO!B$8:B$269))</f>
        <v>SUM TUB PVC 10" ALC</v>
      </c>
      <c r="C75" s="89" t="str">
        <f>IF(LOOKUP(M75,PPTO!$J$8:$J$269,PPTO!D$8:D$269)=0," ",LOOKUP(M75,PPTO!$J$8:$J$269,PPTO!D$8:D$269))</f>
        <v>ML</v>
      </c>
      <c r="D75" s="90" t="str">
        <f>IF(LOOKUP(M75,PPTO!$J$8:$J$269,PPTO!E$8:E$269)=0," ",LOOKUP(M75,PPTO!$J$8:$J$269,PPTO!E$8:E$269))</f>
        <v xml:space="preserve"> </v>
      </c>
      <c r="E75" s="90" t="str">
        <f>IF(LOOKUP(M75,PPTO!$J$8:$J$269,PPTO!F$8:F$269)=0," ",LOOKUP(M75,PPTO!$J$8:$J$269,PPTO!F$8:F$269))</f>
        <v xml:space="preserve"> </v>
      </c>
      <c r="F75" s="90" t="str">
        <f>IF(LOOKUP(M75,PPTO!$J$8:$J$269,PPTO!H$8:H$269)=0," ",LOOKUP(M75,PPTO!$J$8:$J$269,PPTO!H$8:H$269))</f>
        <v xml:space="preserve"> </v>
      </c>
      <c r="G75" s="178">
        <v>119.02</v>
      </c>
      <c r="H75" s="102" t="e">
        <f t="shared" si="5"/>
        <v>#VALUE!</v>
      </c>
      <c r="I75" s="174">
        <v>0</v>
      </c>
      <c r="J75" s="102" t="e">
        <f t="shared" si="6"/>
        <v>#VALUE!</v>
      </c>
      <c r="K75" s="102">
        <f>I75+IF(DATOS!$E$142&gt;0,IF(DATOS!$E$144&gt;0,IF(DATOS!$E$146&gt;0,IF(DATOS!$E$148&gt;0,IF(DATOS!$E$150&gt;0,IF(DATOS!$E$152&gt;0,IF(DATOS!$E$154&gt;0,IF(DATOS!$E$156&gt;0,IF(DATOS!$E$158&gt;0,IF(DATOS!$E$160&gt;0,'ACTA PARCIAL No.10'!K75,'ACTA PARCIAL No.9'!K75),'ACTA PARCIAL No.8'!K75),'ACTA PARCIAL No.7'!K75),'ACTA PARCIAL No.6'!K75),'ACTA PARCIAL No.5'!K75),'ACTA PARCIAL No.4'!K75),#REF!),#REF!),'ACTA PARCIAL No.1'!K75),0)</f>
        <v>0</v>
      </c>
      <c r="L75" s="102" t="e">
        <f t="shared" si="7"/>
        <v>#VALUE!</v>
      </c>
      <c r="M75" s="108">
        <f t="shared" si="4"/>
        <v>49</v>
      </c>
      <c r="O75" s="102"/>
    </row>
    <row r="76" spans="1:15">
      <c r="A76" s="87" t="str">
        <f>IF(LOOKUP(M76,PPTO!$J$8:$J$269,PPTO!A$8:A$269)=0," ",LOOKUP(M76,PPTO!$J$8:$J$269,PPTO!A$8:A$269))</f>
        <v>7.04</v>
      </c>
      <c r="B76" s="91" t="str">
        <f>IF(LOOKUP(M76,PPTO!$J$8:J$269,PPTO!B$8:B$269)=0," ",LOOKUP(M76,PPTO!$J$8:J$269,PPTO!B$8:B$269))</f>
        <v>SUM TUB PVC 12" ALC</v>
      </c>
      <c r="C76" s="89" t="str">
        <f>IF(LOOKUP(M76,PPTO!$J$8:$J$269,PPTO!D$8:D$269)=0," ",LOOKUP(M76,PPTO!$J$8:$J$269,PPTO!D$8:D$269))</f>
        <v>ML</v>
      </c>
      <c r="D76" s="90" t="str">
        <f>IF(LOOKUP(M76,PPTO!$J$8:$J$269,PPTO!E$8:E$269)=0," ",LOOKUP(M76,PPTO!$J$8:$J$269,PPTO!E$8:E$269))</f>
        <v xml:space="preserve"> </v>
      </c>
      <c r="E76" s="90" t="str">
        <f>IF(LOOKUP(M76,PPTO!$J$8:$J$269,PPTO!F$8:F$269)=0," ",LOOKUP(M76,PPTO!$J$8:$J$269,PPTO!F$8:F$269))</f>
        <v xml:space="preserve"> </v>
      </c>
      <c r="F76" s="90" t="str">
        <f>IF(LOOKUP(M76,PPTO!$J$8:$J$269,PPTO!H$8:H$269)=0," ",LOOKUP(M76,PPTO!$J$8:$J$269,PPTO!H$8:H$269))</f>
        <v xml:space="preserve"> </v>
      </c>
      <c r="G76" s="178">
        <v>293.73</v>
      </c>
      <c r="H76" s="102" t="e">
        <f t="shared" si="5"/>
        <v>#VALUE!</v>
      </c>
      <c r="I76" s="174">
        <v>0</v>
      </c>
      <c r="J76" s="102" t="e">
        <f t="shared" si="6"/>
        <v>#VALUE!</v>
      </c>
      <c r="K76" s="102">
        <f>I76+IF(DATOS!$E$142&gt;0,IF(DATOS!$E$144&gt;0,IF(DATOS!$E$146&gt;0,IF(DATOS!$E$148&gt;0,IF(DATOS!$E$150&gt;0,IF(DATOS!$E$152&gt;0,IF(DATOS!$E$154&gt;0,IF(DATOS!$E$156&gt;0,IF(DATOS!$E$158&gt;0,IF(DATOS!$E$160&gt;0,'ACTA PARCIAL No.10'!K76,'ACTA PARCIAL No.9'!K76),'ACTA PARCIAL No.8'!K76),'ACTA PARCIAL No.7'!K76),'ACTA PARCIAL No.6'!K76),'ACTA PARCIAL No.5'!K76),'ACTA PARCIAL No.4'!K76),#REF!),#REF!),'ACTA PARCIAL No.1'!K76),0)</f>
        <v>0</v>
      </c>
      <c r="L76" s="102" t="e">
        <f t="shared" si="7"/>
        <v>#VALUE!</v>
      </c>
      <c r="M76" s="108">
        <f t="shared" si="4"/>
        <v>50</v>
      </c>
      <c r="O76" s="102"/>
    </row>
    <row r="77" spans="1:15">
      <c r="A77" s="87" t="str">
        <f>IF(LOOKUP(M77,PPTO!$J$8:$J$269,PPTO!A$8:A$269)=0," ",LOOKUP(M77,PPTO!$J$8:$J$269,PPTO!A$8:A$269))</f>
        <v>7.05</v>
      </c>
      <c r="B77" s="91" t="str">
        <f>IF(LOOKUP(M77,PPTO!$J$8:J$269,PPTO!B$8:B$269)=0," ",LOOKUP(M77,PPTO!$J$8:J$269,PPTO!B$8:B$269))</f>
        <v>SUMINISTRO TUB PVC NOVAFORT 14 "</v>
      </c>
      <c r="C77" s="89" t="str">
        <f>IF(LOOKUP(M77,PPTO!$J$8:$J$269,PPTO!D$8:D$269)=0," ",LOOKUP(M77,PPTO!$J$8:$J$269,PPTO!D$8:D$269))</f>
        <v>ML</v>
      </c>
      <c r="D77" s="90" t="str">
        <f>IF(LOOKUP(M77,PPTO!$J$8:$J$269,PPTO!E$8:E$269)=0," ",LOOKUP(M77,PPTO!$J$8:$J$269,PPTO!E$8:E$269))</f>
        <v xml:space="preserve"> </v>
      </c>
      <c r="E77" s="90" t="str">
        <f>IF(LOOKUP(M77,PPTO!$J$8:$J$269,PPTO!F$8:F$269)=0," ",LOOKUP(M77,PPTO!$J$8:$J$269,PPTO!F$8:F$269))</f>
        <v xml:space="preserve"> </v>
      </c>
      <c r="F77" s="90" t="str">
        <f>IF(LOOKUP(M77,PPTO!$J$8:$J$269,PPTO!H$8:H$269)=0," ",LOOKUP(M77,PPTO!$J$8:$J$269,PPTO!H$8:H$269))</f>
        <v xml:space="preserve"> </v>
      </c>
      <c r="G77" s="178">
        <v>915</v>
      </c>
      <c r="H77" s="102" t="e">
        <f t="shared" si="5"/>
        <v>#VALUE!</v>
      </c>
      <c r="I77" s="174">
        <v>0</v>
      </c>
      <c r="J77" s="102" t="e">
        <f t="shared" si="6"/>
        <v>#VALUE!</v>
      </c>
      <c r="K77" s="102">
        <f>I77+IF(DATOS!$E$142&gt;0,IF(DATOS!$E$144&gt;0,IF(DATOS!$E$146&gt;0,IF(DATOS!$E$148&gt;0,IF(DATOS!$E$150&gt;0,IF(DATOS!$E$152&gt;0,IF(DATOS!$E$154&gt;0,IF(DATOS!$E$156&gt;0,IF(DATOS!$E$158&gt;0,IF(DATOS!$E$160&gt;0,'ACTA PARCIAL No.10'!K77,'ACTA PARCIAL No.9'!K77),'ACTA PARCIAL No.8'!K77),'ACTA PARCIAL No.7'!K77),'ACTA PARCIAL No.6'!K77),'ACTA PARCIAL No.5'!K77),'ACTA PARCIAL No.4'!K77),#REF!),#REF!),'ACTA PARCIAL No.1'!K77),0)</f>
        <v>0</v>
      </c>
      <c r="L77" s="102" t="e">
        <f t="shared" si="7"/>
        <v>#VALUE!</v>
      </c>
      <c r="M77" s="108">
        <f t="shared" si="4"/>
        <v>51</v>
      </c>
      <c r="O77" s="102"/>
    </row>
    <row r="78" spans="1:15">
      <c r="A78" s="87"/>
      <c r="B78" s="88"/>
      <c r="C78" s="89"/>
      <c r="D78" s="90"/>
      <c r="E78" s="90"/>
      <c r="F78" s="97"/>
      <c r="G78" s="179"/>
      <c r="H78" s="177"/>
      <c r="I78" s="174"/>
      <c r="J78" s="148"/>
      <c r="K78" s="102"/>
      <c r="L78" s="148"/>
      <c r="M78" s="108"/>
      <c r="O78" s="102"/>
    </row>
    <row r="79" spans="1:15">
      <c r="A79" s="87"/>
      <c r="B79" s="275" t="s">
        <v>348</v>
      </c>
      <c r="C79" s="276"/>
      <c r="D79" s="277"/>
      <c r="E79" s="277"/>
      <c r="F79" s="277">
        <v>0</v>
      </c>
      <c r="G79" s="278"/>
      <c r="H79" s="278">
        <v>0</v>
      </c>
      <c r="I79" s="279"/>
      <c r="J79" s="279">
        <v>0</v>
      </c>
      <c r="K79" s="279"/>
      <c r="L79" s="279">
        <v>0</v>
      </c>
      <c r="M79" s="108"/>
    </row>
    <row r="80" spans="1:15" ht="12.75" thickBot="1">
      <c r="A80" s="87"/>
      <c r="B80" s="91"/>
      <c r="C80" s="89"/>
      <c r="D80" s="90"/>
      <c r="E80" s="90"/>
      <c r="F80" s="90"/>
      <c r="G80" s="161"/>
      <c r="H80" s="161"/>
      <c r="I80" s="102"/>
      <c r="J80" s="102"/>
      <c r="K80" s="102"/>
      <c r="L80" s="102"/>
      <c r="M80" s="108"/>
    </row>
    <row r="81" spans="1:13" ht="12.75" thickBot="1">
      <c r="A81" s="92"/>
      <c r="B81" s="280" t="s">
        <v>326</v>
      </c>
      <c r="C81" s="281"/>
      <c r="D81" s="282"/>
      <c r="E81" s="282"/>
      <c r="F81" s="283">
        <f>SUM(F73:F80)</f>
        <v>0</v>
      </c>
      <c r="G81" s="284"/>
      <c r="H81" s="283" t="e">
        <f>SUM(H73:H80)</f>
        <v>#VALUE!</v>
      </c>
      <c r="I81" s="284"/>
      <c r="J81" s="283" t="e">
        <f>SUM(J73:J80)</f>
        <v>#VALUE!</v>
      </c>
      <c r="K81" s="284"/>
      <c r="L81" s="283" t="e">
        <f>SUM(L73:L80)</f>
        <v>#VALUE!</v>
      </c>
      <c r="M81" s="108"/>
    </row>
    <row r="82" spans="1:13" ht="12.75" thickBot="1">
      <c r="A82" s="87"/>
      <c r="B82" s="285" t="s">
        <v>174</v>
      </c>
      <c r="C82" s="286" t="s">
        <v>296</v>
      </c>
      <c r="D82" s="287">
        <f>DATOS!E192</f>
        <v>18.5</v>
      </c>
      <c r="E82" s="288"/>
      <c r="F82" s="288">
        <f>ROUND(F$81*$D$82/100,0)</f>
        <v>0</v>
      </c>
      <c r="G82" s="289"/>
      <c r="H82" s="288" t="e">
        <f>ROUND(H$81*$D$82/100,0)</f>
        <v>#VALUE!</v>
      </c>
      <c r="I82" s="289"/>
      <c r="J82" s="288" t="e">
        <f>ROUND(J$81*$D$82/100,0)</f>
        <v>#VALUE!</v>
      </c>
      <c r="K82" s="289"/>
      <c r="L82" s="288" t="e">
        <f>ROUND(L$81*$D$82/100,0)</f>
        <v>#VALUE!</v>
      </c>
      <c r="M82" s="108"/>
    </row>
    <row r="83" spans="1:13" ht="12.75" thickBot="1">
      <c r="A83" s="87"/>
      <c r="B83" s="280" t="s">
        <v>327</v>
      </c>
      <c r="C83" s="281"/>
      <c r="D83" s="282"/>
      <c r="E83" s="282"/>
      <c r="F83" s="283">
        <f>F82</f>
        <v>0</v>
      </c>
      <c r="G83" s="284"/>
      <c r="H83" s="283" t="e">
        <f>H82</f>
        <v>#VALUE!</v>
      </c>
      <c r="I83" s="284"/>
      <c r="J83" s="283" t="e">
        <f>J82</f>
        <v>#VALUE!</v>
      </c>
      <c r="K83" s="284"/>
      <c r="L83" s="283" t="e">
        <f>L82</f>
        <v>#VALUE!</v>
      </c>
      <c r="M83" s="108"/>
    </row>
    <row r="84" spans="1:13" ht="12.75" thickBot="1">
      <c r="A84" s="87"/>
      <c r="B84" s="1150"/>
      <c r="C84" s="1150"/>
      <c r="D84" s="293"/>
      <c r="E84" s="293"/>
      <c r="F84" s="293"/>
      <c r="G84" s="279"/>
      <c r="H84" s="293"/>
      <c r="I84" s="279"/>
      <c r="J84" s="293"/>
      <c r="K84" s="279"/>
      <c r="L84" s="293"/>
      <c r="M84" s="108"/>
    </row>
    <row r="85" spans="1:13" ht="12.75" thickBot="1">
      <c r="A85" s="87"/>
      <c r="B85" s="280" t="s">
        <v>328</v>
      </c>
      <c r="C85" s="281"/>
      <c r="D85" s="282"/>
      <c r="E85" s="282"/>
      <c r="F85" s="283">
        <f>F81+F83</f>
        <v>0</v>
      </c>
      <c r="G85" s="284"/>
      <c r="H85" s="283" t="e">
        <f>H81+H83</f>
        <v>#VALUE!</v>
      </c>
      <c r="I85" s="284"/>
      <c r="J85" s="283" t="e">
        <f>J81+J83</f>
        <v>#VALUE!</v>
      </c>
      <c r="K85" s="284"/>
      <c r="L85" s="283" t="e">
        <f>L81+L83</f>
        <v>#VALUE!</v>
      </c>
      <c r="M85" s="108"/>
    </row>
    <row r="86" spans="1:13" ht="25.15" customHeight="1" thickBot="1">
      <c r="A86" s="87"/>
      <c r="B86" s="1151"/>
      <c r="C86" s="1151"/>
      <c r="D86" s="293"/>
      <c r="E86" s="293"/>
      <c r="F86" s="293"/>
      <c r="G86" s="279"/>
      <c r="H86" s="293"/>
      <c r="I86" s="279"/>
      <c r="J86" s="293"/>
      <c r="K86" s="279"/>
      <c r="L86" s="293"/>
      <c r="M86" s="108"/>
    </row>
    <row r="87" spans="1:13" ht="12.75" thickBot="1">
      <c r="A87" s="87"/>
      <c r="B87" s="280" t="s">
        <v>325</v>
      </c>
      <c r="C87" s="281"/>
      <c r="D87" s="282"/>
      <c r="E87" s="282"/>
      <c r="F87" s="283">
        <f>F70</f>
        <v>0</v>
      </c>
      <c r="G87" s="284"/>
      <c r="H87" s="283" t="e">
        <f>H70</f>
        <v>#VALUE!</v>
      </c>
      <c r="I87" s="284"/>
      <c r="J87" s="283" t="e">
        <f>J70</f>
        <v>#VALUE!</v>
      </c>
      <c r="K87" s="284"/>
      <c r="L87" s="283" t="e">
        <f>L70</f>
        <v>#VALUE!</v>
      </c>
      <c r="M87" s="108"/>
    </row>
    <row r="88" spans="1:13" ht="5.45" customHeight="1" thickBot="1">
      <c r="A88" s="87"/>
      <c r="B88" s="1151"/>
      <c r="C88" s="1151"/>
      <c r="D88" s="293"/>
      <c r="E88" s="293"/>
      <c r="F88" s="293"/>
      <c r="G88" s="279"/>
      <c r="H88" s="293"/>
      <c r="I88" s="279"/>
      <c r="J88" s="293"/>
      <c r="K88" s="279"/>
      <c r="L88" s="293"/>
      <c r="M88" s="108"/>
    </row>
    <row r="89" spans="1:13" ht="12.75" thickBot="1">
      <c r="A89" s="87"/>
      <c r="B89" s="280" t="s">
        <v>328</v>
      </c>
      <c r="C89" s="281"/>
      <c r="D89" s="282"/>
      <c r="E89" s="282"/>
      <c r="F89" s="283">
        <f>F85</f>
        <v>0</v>
      </c>
      <c r="G89" s="284"/>
      <c r="H89" s="283" t="e">
        <f>H85</f>
        <v>#VALUE!</v>
      </c>
      <c r="I89" s="284"/>
      <c r="J89" s="283" t="e">
        <f>J85</f>
        <v>#VALUE!</v>
      </c>
      <c r="K89" s="284"/>
      <c r="L89" s="283" t="e">
        <f>L85</f>
        <v>#VALUE!</v>
      </c>
      <c r="M89" s="108"/>
    </row>
    <row r="90" spans="1:13" ht="12.75" thickBot="1">
      <c r="A90" s="87"/>
      <c r="B90" s="976"/>
      <c r="C90" s="976"/>
      <c r="D90" s="144"/>
      <c r="E90" s="90"/>
      <c r="F90" s="90"/>
      <c r="G90" s="161"/>
      <c r="H90" s="156"/>
      <c r="I90" s="161"/>
      <c r="J90" s="156"/>
      <c r="K90" s="161"/>
      <c r="L90" s="156"/>
      <c r="M90" s="108"/>
    </row>
    <row r="91" spans="1:13" ht="15" customHeight="1" thickBot="1">
      <c r="A91" s="87"/>
      <c r="B91" s="157" t="s">
        <v>117</v>
      </c>
      <c r="C91" s="158"/>
      <c r="D91" s="159"/>
      <c r="E91" s="159"/>
      <c r="F91" s="160">
        <f>F87+F89</f>
        <v>0</v>
      </c>
      <c r="G91" s="163"/>
      <c r="H91" s="164" t="e">
        <f>H87+H89</f>
        <v>#VALUE!</v>
      </c>
      <c r="I91" s="165"/>
      <c r="J91" s="166" t="e">
        <f>J87+J89</f>
        <v>#VALUE!</v>
      </c>
      <c r="K91" s="167"/>
      <c r="L91" s="168" t="e">
        <f>L87+L89</f>
        <v>#VALUE!</v>
      </c>
      <c r="M91" s="108"/>
    </row>
    <row r="92" spans="1:13">
      <c r="A92" s="87"/>
      <c r="B92" s="88"/>
      <c r="C92" s="89"/>
      <c r="D92" s="90"/>
      <c r="E92" s="90"/>
      <c r="F92" s="90"/>
      <c r="G92" s="162"/>
      <c r="H92" s="162"/>
      <c r="I92" s="102"/>
      <c r="K92" s="102"/>
      <c r="L92" s="102"/>
      <c r="M92" s="108"/>
    </row>
    <row r="93" spans="1:13">
      <c r="A93" s="87"/>
      <c r="B93" s="88"/>
      <c r="C93" s="89"/>
      <c r="D93" s="90"/>
      <c r="E93" s="90"/>
      <c r="F93" s="90"/>
      <c r="G93" s="102"/>
      <c r="H93" s="102"/>
      <c r="I93" s="102"/>
      <c r="J93" s="102"/>
      <c r="K93" s="102"/>
      <c r="L93" s="102"/>
      <c r="M93" s="108"/>
    </row>
    <row r="94" spans="1:13">
      <c r="A94" s="84"/>
      <c r="B94" s="93"/>
      <c r="C94" s="84"/>
      <c r="D94" s="86"/>
      <c r="E94" s="86"/>
      <c r="F94" s="86"/>
      <c r="G94" s="85"/>
      <c r="H94" s="85"/>
      <c r="I94" s="85"/>
      <c r="J94" s="85"/>
      <c r="K94" s="85"/>
      <c r="L94" s="85"/>
      <c r="M94" s="108"/>
    </row>
    <row r="95" spans="1:13">
      <c r="B95" s="111" t="s">
        <v>251</v>
      </c>
      <c r="C95" s="84"/>
      <c r="D95" s="86"/>
      <c r="E95" s="86"/>
      <c r="F95" s="86"/>
      <c r="G95" s="85"/>
      <c r="H95" s="111" t="s">
        <v>263</v>
      </c>
      <c r="I95" s="85"/>
      <c r="J95" s="85"/>
      <c r="K95" s="85"/>
      <c r="L95" s="85"/>
      <c r="M95" s="108"/>
    </row>
    <row r="96" spans="1:13">
      <c r="A96" s="84"/>
      <c r="B96" s="113" t="s">
        <v>252</v>
      </c>
      <c r="C96" s="121"/>
      <c r="D96" s="123" t="s">
        <v>259</v>
      </c>
      <c r="E96" s="112"/>
      <c r="F96" s="112">
        <f>F7</f>
        <v>0</v>
      </c>
      <c r="G96" s="85"/>
      <c r="H96" s="117" t="s">
        <v>13</v>
      </c>
      <c r="I96" s="118"/>
      <c r="J96" s="120" t="s">
        <v>259</v>
      </c>
      <c r="K96" s="112"/>
      <c r="L96" s="112">
        <f>DATOS!E48</f>
        <v>0</v>
      </c>
      <c r="M96" s="108"/>
    </row>
    <row r="97" spans="1:13">
      <c r="A97" s="84"/>
      <c r="B97" s="113" t="s">
        <v>257</v>
      </c>
      <c r="C97" s="121"/>
      <c r="D97" s="123" t="s">
        <v>259</v>
      </c>
      <c r="E97" s="112"/>
      <c r="F97" s="112">
        <f>F8</f>
        <v>30000000</v>
      </c>
      <c r="G97" s="85"/>
      <c r="H97" s="117" t="s">
        <v>260</v>
      </c>
      <c r="I97" s="118"/>
      <c r="J97" s="120" t="s">
        <v>259</v>
      </c>
      <c r="K97" s="112"/>
      <c r="L97" s="112">
        <v>50000000</v>
      </c>
      <c r="M97" s="108"/>
    </row>
    <row r="98" spans="1:13">
      <c r="A98" s="84"/>
      <c r="B98" s="113" t="s">
        <v>258</v>
      </c>
      <c r="C98" s="121"/>
      <c r="D98" s="123" t="s">
        <v>259</v>
      </c>
      <c r="E98" s="112"/>
      <c r="F98" s="112">
        <f>F9</f>
        <v>0</v>
      </c>
      <c r="G98" s="85"/>
      <c r="H98" s="117" t="s">
        <v>261</v>
      </c>
      <c r="I98" s="118"/>
      <c r="J98" s="120" t="s">
        <v>259</v>
      </c>
      <c r="K98" s="112"/>
      <c r="L98" s="112">
        <f>'ACTA PARCIAL No.9'!L98</f>
        <v>69873868</v>
      </c>
      <c r="M98" s="108"/>
    </row>
    <row r="99" spans="1:13">
      <c r="A99" s="84"/>
      <c r="B99" s="113" t="s">
        <v>253</v>
      </c>
      <c r="C99" s="121"/>
      <c r="D99" s="123" t="s">
        <v>259</v>
      </c>
      <c r="E99" s="112" t="e">
        <f>'ACTA PARCIAL No.1'!E99</f>
        <v>#VALUE!</v>
      </c>
      <c r="F99" s="112"/>
      <c r="G99" s="85"/>
      <c r="H99" s="117" t="s">
        <v>262</v>
      </c>
      <c r="I99" s="118"/>
      <c r="J99" s="120" t="s">
        <v>259</v>
      </c>
      <c r="K99" s="112" t="e">
        <f>ROUND(E99*DATOS!$I$48,0)</f>
        <v>#VALUE!</v>
      </c>
      <c r="L99" s="112"/>
      <c r="M99" s="108"/>
    </row>
    <row r="100" spans="1:13">
      <c r="A100" s="84"/>
      <c r="B100" s="113" t="s">
        <v>272</v>
      </c>
      <c r="C100" s="121"/>
      <c r="D100" s="123" t="s">
        <v>259</v>
      </c>
      <c r="E100" s="112" t="e">
        <f>#REF!</f>
        <v>#REF!</v>
      </c>
      <c r="F100" s="112"/>
      <c r="G100" s="85"/>
      <c r="H100" s="117" t="s">
        <v>273</v>
      </c>
      <c r="I100" s="118"/>
      <c r="J100" s="120" t="s">
        <v>259</v>
      </c>
      <c r="K100" s="112" t="e">
        <f>ROUND(E100*DATOS!$I$48,0)</f>
        <v>#REF!</v>
      </c>
      <c r="L100" s="112"/>
      <c r="M100" s="108"/>
    </row>
    <row r="101" spans="1:13">
      <c r="A101" s="84"/>
      <c r="B101" s="113" t="s">
        <v>297</v>
      </c>
      <c r="C101" s="121"/>
      <c r="D101" s="123" t="s">
        <v>259</v>
      </c>
      <c r="E101" s="112" t="e">
        <f>#REF!</f>
        <v>#REF!</v>
      </c>
      <c r="F101" s="112"/>
      <c r="G101" s="85"/>
      <c r="H101" s="117" t="s">
        <v>304</v>
      </c>
      <c r="I101" s="118"/>
      <c r="J101" s="120" t="s">
        <v>259</v>
      </c>
      <c r="K101" s="112" t="e">
        <f>ROUND(E101*DATOS!$I$48,0)</f>
        <v>#REF!</v>
      </c>
      <c r="L101" s="112"/>
      <c r="M101" s="108"/>
    </row>
    <row r="102" spans="1:13">
      <c r="A102" s="84"/>
      <c r="B102" s="113" t="s">
        <v>298</v>
      </c>
      <c r="C102" s="121"/>
      <c r="D102" s="123" t="s">
        <v>259</v>
      </c>
      <c r="E102" s="112" t="e">
        <f>'ACTA PARCIAL No.4'!E102</f>
        <v>#VALUE!</v>
      </c>
      <c r="F102" s="112"/>
      <c r="G102" s="85"/>
      <c r="H102" s="117" t="s">
        <v>305</v>
      </c>
      <c r="I102" s="118"/>
      <c r="J102" s="120" t="s">
        <v>259</v>
      </c>
      <c r="K102" s="112" t="e">
        <f>ROUND(E102*DATOS!$I$48,0)</f>
        <v>#VALUE!</v>
      </c>
      <c r="L102" s="112"/>
      <c r="M102" s="108"/>
    </row>
    <row r="103" spans="1:13">
      <c r="A103" s="84"/>
      <c r="B103" s="113" t="s">
        <v>299</v>
      </c>
      <c r="C103" s="121"/>
      <c r="D103" s="123" t="s">
        <v>259</v>
      </c>
      <c r="E103" s="112" t="e">
        <f>'ACTA PARCIAL No.5'!E103</f>
        <v>#VALUE!</v>
      </c>
      <c r="F103" s="112"/>
      <c r="G103" s="85"/>
      <c r="H103" s="117" t="s">
        <v>306</v>
      </c>
      <c r="I103" s="118"/>
      <c r="J103" s="120" t="s">
        <v>259</v>
      </c>
      <c r="K103" s="112" t="e">
        <f>ROUND(E103*DATOS!$I$48,0)</f>
        <v>#VALUE!</v>
      </c>
      <c r="L103" s="112"/>
      <c r="M103" s="108"/>
    </row>
    <row r="104" spans="1:13">
      <c r="A104" s="84"/>
      <c r="B104" s="113" t="s">
        <v>300</v>
      </c>
      <c r="C104" s="121"/>
      <c r="D104" s="123" t="s">
        <v>259</v>
      </c>
      <c r="E104" s="112" t="e">
        <f>'ACTA PARCIAL No.6'!E104</f>
        <v>#VALUE!</v>
      </c>
      <c r="F104" s="112"/>
      <c r="G104" s="85"/>
      <c r="H104" s="117" t="s">
        <v>307</v>
      </c>
      <c r="I104" s="118"/>
      <c r="J104" s="120" t="s">
        <v>259</v>
      </c>
      <c r="K104" s="112" t="e">
        <f>ROUND(E104*DATOS!$I$48,0)</f>
        <v>#VALUE!</v>
      </c>
      <c r="L104" s="112"/>
      <c r="M104" s="108"/>
    </row>
    <row r="105" spans="1:13">
      <c r="A105" s="84"/>
      <c r="B105" s="113" t="s">
        <v>301</v>
      </c>
      <c r="C105" s="121"/>
      <c r="D105" s="123" t="s">
        <v>259</v>
      </c>
      <c r="E105" s="112" t="e">
        <f>'ACTA PARCIAL No.7'!E105</f>
        <v>#VALUE!</v>
      </c>
      <c r="F105" s="112"/>
      <c r="G105" s="85"/>
      <c r="H105" s="117" t="s">
        <v>308</v>
      </c>
      <c r="I105" s="118"/>
      <c r="J105" s="120" t="s">
        <v>259</v>
      </c>
      <c r="K105" s="112" t="e">
        <f>ROUND(E105*DATOS!$I$48,0)</f>
        <v>#VALUE!</v>
      </c>
      <c r="L105" s="112"/>
      <c r="M105" s="108"/>
    </row>
    <row r="106" spans="1:13">
      <c r="A106" s="84"/>
      <c r="B106" s="113" t="s">
        <v>302</v>
      </c>
      <c r="C106" s="121"/>
      <c r="D106" s="123" t="s">
        <v>259</v>
      </c>
      <c r="E106" s="112" t="e">
        <f>'ACTA PARCIAL No.8'!E106</f>
        <v>#VALUE!</v>
      </c>
      <c r="F106" s="112"/>
      <c r="G106" s="85"/>
      <c r="H106" s="117" t="s">
        <v>309</v>
      </c>
      <c r="I106" s="118"/>
      <c r="J106" s="120" t="s">
        <v>259</v>
      </c>
      <c r="K106" s="112" t="e">
        <f>ROUND(E106*DATOS!$I$48,0)</f>
        <v>#VALUE!</v>
      </c>
      <c r="L106" s="112"/>
      <c r="M106" s="108"/>
    </row>
    <row r="107" spans="1:13">
      <c r="A107" s="84"/>
      <c r="B107" s="113" t="s">
        <v>303</v>
      </c>
      <c r="C107" s="121"/>
      <c r="D107" s="123" t="s">
        <v>259</v>
      </c>
      <c r="E107" s="112" t="e">
        <f>'ACTA PARCIAL No.9'!E107</f>
        <v>#VALUE!</v>
      </c>
      <c r="F107" s="112"/>
      <c r="G107" s="85"/>
      <c r="H107" s="117" t="s">
        <v>310</v>
      </c>
      <c r="I107" s="118"/>
      <c r="J107" s="120" t="s">
        <v>259</v>
      </c>
      <c r="K107" s="112" t="e">
        <f>ROUND(E107*DATOS!$I$48,0)</f>
        <v>#VALUE!</v>
      </c>
      <c r="L107" s="112"/>
      <c r="M107" s="108"/>
    </row>
    <row r="108" spans="1:13">
      <c r="A108" s="84"/>
      <c r="B108" s="113" t="s">
        <v>380</v>
      </c>
      <c r="C108" s="121"/>
      <c r="D108" s="123" t="s">
        <v>259</v>
      </c>
      <c r="E108" s="112" t="e">
        <f>'ACTA PARCIAL No.10'!E108</f>
        <v>#VALUE!</v>
      </c>
      <c r="F108" s="112"/>
      <c r="G108" s="85"/>
      <c r="H108" s="117" t="s">
        <v>381</v>
      </c>
      <c r="I108" s="118"/>
      <c r="J108" s="120" t="s">
        <v>259</v>
      </c>
      <c r="K108" s="112" t="e">
        <f>ROUND(E108*DATOS!$I$48,0)</f>
        <v>#VALUE!</v>
      </c>
      <c r="L108" s="112"/>
      <c r="M108" s="108"/>
    </row>
    <row r="109" spans="1:13">
      <c r="A109" s="84"/>
      <c r="B109" s="113" t="s">
        <v>382</v>
      </c>
      <c r="C109" s="121"/>
      <c r="D109" s="123" t="s">
        <v>259</v>
      </c>
      <c r="E109" s="112" t="e">
        <f>J91</f>
        <v>#VALUE!</v>
      </c>
      <c r="F109" s="112"/>
      <c r="G109" s="85"/>
      <c r="H109" s="117" t="s">
        <v>383</v>
      </c>
      <c r="I109" s="118"/>
      <c r="J109" s="120" t="s">
        <v>259</v>
      </c>
      <c r="K109" s="112" t="e">
        <f>L111-SUM(K99:K108)</f>
        <v>#VALUE!</v>
      </c>
      <c r="L109" s="112"/>
      <c r="M109" s="108"/>
    </row>
    <row r="110" spans="1:13">
      <c r="A110" s="84"/>
      <c r="B110" s="113" t="s">
        <v>254</v>
      </c>
      <c r="C110" s="121"/>
      <c r="D110" s="123" t="s">
        <v>259</v>
      </c>
      <c r="E110" s="112" t="e">
        <f>F96+F97+F98-E99-E100-E101-E102-E103-E104-E105-E106-E107-E108-E109</f>
        <v>#VALUE!</v>
      </c>
      <c r="F110" s="112"/>
      <c r="G110" s="85"/>
      <c r="H110" s="117" t="s">
        <v>250</v>
      </c>
      <c r="I110" s="118"/>
      <c r="J110" s="120" t="s">
        <v>259</v>
      </c>
      <c r="K110" s="112" t="e">
        <f>L96+L97+L98-K99-K100-K101-K102-K103-K104-K105-K106-K107-K108-K109</f>
        <v>#VALUE!</v>
      </c>
      <c r="L110" s="112"/>
      <c r="M110" s="108"/>
    </row>
    <row r="111" spans="1:13">
      <c r="A111" s="84"/>
      <c r="B111" s="114" t="s">
        <v>255</v>
      </c>
      <c r="C111" s="121"/>
      <c r="D111" s="123" t="s">
        <v>259</v>
      </c>
      <c r="E111" s="112" t="e">
        <f>SUM(E96:E110)</f>
        <v>#VALUE!</v>
      </c>
      <c r="F111" s="112">
        <f>SUM(F96:F110)</f>
        <v>30000000</v>
      </c>
      <c r="G111" s="85"/>
      <c r="H111" s="119" t="s">
        <v>255</v>
      </c>
      <c r="I111" s="118"/>
      <c r="J111" s="120" t="s">
        <v>259</v>
      </c>
      <c r="K111" s="112" t="e">
        <f>SUM(K96:K110)</f>
        <v>#VALUE!</v>
      </c>
      <c r="L111" s="112">
        <f>SUM(L96:L110)</f>
        <v>119873868</v>
      </c>
      <c r="M111" s="108"/>
    </row>
    <row r="112" spans="1:13">
      <c r="A112" s="84"/>
      <c r="B112" s="93"/>
      <c r="C112" s="84"/>
      <c r="D112" s="86"/>
      <c r="E112" s="86"/>
      <c r="F112" s="86"/>
      <c r="G112" s="85"/>
      <c r="I112" s="85"/>
      <c r="J112" s="85"/>
      <c r="K112" s="85"/>
      <c r="L112" s="85"/>
      <c r="M112" s="108"/>
    </row>
    <row r="113" spans="1:13">
      <c r="A113" s="84"/>
      <c r="B113" s="113" t="s">
        <v>311</v>
      </c>
      <c r="C113" s="121"/>
      <c r="D113" s="122"/>
      <c r="E113" s="123" t="s">
        <v>259</v>
      </c>
      <c r="F113" s="112">
        <f>F96+F97+F98</f>
        <v>30000000</v>
      </c>
      <c r="G113" s="85"/>
      <c r="H113" s="117" t="s">
        <v>265</v>
      </c>
      <c r="I113" s="118"/>
      <c r="J113" s="126"/>
      <c r="K113" s="120" t="s">
        <v>259</v>
      </c>
      <c r="L113" s="112" t="e">
        <f>E109</f>
        <v>#VALUE!</v>
      </c>
      <c r="M113" s="108"/>
    </row>
    <row r="114" spans="1:13">
      <c r="A114" s="84"/>
      <c r="B114" s="113" t="s">
        <v>264</v>
      </c>
      <c r="C114" s="121"/>
      <c r="D114" s="122"/>
      <c r="E114" s="123" t="s">
        <v>259</v>
      </c>
      <c r="F114" s="112" t="e">
        <f>E99+E100+E101+E102+E103+E104+E105+E106+E107+E108+E109</f>
        <v>#VALUE!</v>
      </c>
      <c r="G114" s="85"/>
      <c r="H114" s="117" t="s">
        <v>266</v>
      </c>
      <c r="I114" s="118"/>
      <c r="J114" s="126"/>
      <c r="K114" s="120" t="s">
        <v>259</v>
      </c>
      <c r="L114" s="112" t="e">
        <f>K109</f>
        <v>#VALUE!</v>
      </c>
      <c r="M114" s="108"/>
    </row>
    <row r="115" spans="1:13">
      <c r="A115" s="84"/>
      <c r="B115" s="113" t="s">
        <v>274</v>
      </c>
      <c r="C115" s="121"/>
      <c r="D115" s="122"/>
      <c r="E115" s="123" t="s">
        <v>259</v>
      </c>
      <c r="F115" s="112" t="e">
        <f>K110</f>
        <v>#VALUE!</v>
      </c>
      <c r="G115" s="85"/>
      <c r="H115" s="85"/>
      <c r="I115" s="85"/>
      <c r="J115" s="125"/>
      <c r="K115" s="126"/>
      <c r="L115" s="122"/>
      <c r="M115" s="108"/>
    </row>
    <row r="116" spans="1:13">
      <c r="A116" s="84"/>
      <c r="B116" s="113" t="s">
        <v>254</v>
      </c>
      <c r="C116" s="121"/>
      <c r="D116" s="122"/>
      <c r="E116" s="123" t="s">
        <v>259</v>
      </c>
      <c r="F116" s="112" t="e">
        <f>E110</f>
        <v>#VALUE!</v>
      </c>
      <c r="G116" s="85"/>
      <c r="H116" s="119" t="s">
        <v>267</v>
      </c>
      <c r="I116" s="118"/>
      <c r="J116" s="126"/>
      <c r="K116" s="120" t="s">
        <v>259</v>
      </c>
      <c r="L116" s="116" t="e">
        <f>L113-L114</f>
        <v>#VALUE!</v>
      </c>
      <c r="M116" s="108"/>
    </row>
    <row r="117" spans="1:13">
      <c r="A117" s="84"/>
      <c r="B117" s="114" t="s">
        <v>256</v>
      </c>
      <c r="C117" s="121"/>
      <c r="D117" s="122"/>
      <c r="E117" s="123"/>
      <c r="F117" s="124" t="e">
        <f>F114/F113</f>
        <v>#VALUE!</v>
      </c>
      <c r="G117" s="85"/>
      <c r="H117" s="85"/>
      <c r="I117" s="85"/>
      <c r="J117" s="85"/>
      <c r="K117" s="85"/>
      <c r="L117" s="85"/>
      <c r="M117" s="108"/>
    </row>
    <row r="118" spans="1:13">
      <c r="A118" s="84"/>
      <c r="B118" s="93"/>
      <c r="C118" s="84"/>
      <c r="D118" s="86"/>
      <c r="E118" s="86"/>
      <c r="F118" s="86"/>
      <c r="G118" s="85"/>
      <c r="H118" s="85"/>
      <c r="I118" s="85"/>
      <c r="J118" s="85"/>
      <c r="K118" s="85"/>
      <c r="L118" s="85"/>
      <c r="M118" s="108"/>
    </row>
    <row r="119" spans="1:13" ht="12.75" thickBot="1">
      <c r="A119" s="84"/>
      <c r="B119" s="93"/>
      <c r="C119" s="84"/>
      <c r="D119" s="86"/>
      <c r="E119" s="86"/>
      <c r="F119" s="86"/>
      <c r="G119" s="85"/>
      <c r="H119" s="85"/>
      <c r="I119" s="85"/>
      <c r="J119" s="85"/>
      <c r="K119" s="85"/>
      <c r="L119" s="85"/>
      <c r="M119" s="108"/>
    </row>
    <row r="120" spans="1:13" ht="15" customHeight="1" thickBot="1">
      <c r="A120" s="84"/>
      <c r="B120" s="93" t="s">
        <v>268</v>
      </c>
      <c r="C120" s="1144"/>
      <c r="D120" s="1145"/>
      <c r="E120" s="1145"/>
      <c r="F120" s="1145"/>
      <c r="G120" s="1145"/>
      <c r="H120" s="1145"/>
      <c r="I120" s="1145"/>
      <c r="J120" s="1145"/>
      <c r="K120" s="1145"/>
      <c r="L120" s="1146"/>
      <c r="M120" s="108"/>
    </row>
    <row r="121" spans="1:13">
      <c r="A121" s="84"/>
      <c r="B121" s="93"/>
      <c r="C121" s="84"/>
      <c r="D121" s="86"/>
      <c r="E121" s="86"/>
      <c r="F121" s="86"/>
      <c r="G121" s="85"/>
      <c r="H121" s="85"/>
      <c r="I121" s="85"/>
      <c r="J121" s="85"/>
      <c r="K121" s="85"/>
      <c r="L121" s="85"/>
      <c r="M121" s="108"/>
    </row>
    <row r="122" spans="1:13">
      <c r="A122" s="84"/>
      <c r="B122" s="93"/>
      <c r="C122" s="84"/>
      <c r="D122" s="86"/>
      <c r="E122" s="86"/>
      <c r="F122" s="86"/>
      <c r="G122" s="85"/>
      <c r="H122" s="85"/>
      <c r="I122" s="85"/>
      <c r="J122" s="85"/>
      <c r="K122" s="85"/>
      <c r="L122" s="85"/>
      <c r="M122" s="108"/>
    </row>
    <row r="123" spans="1:13" ht="26.45" customHeight="1">
      <c r="A123" s="84"/>
      <c r="B123" s="1066" t="s">
        <v>269</v>
      </c>
      <c r="C123" s="1066"/>
      <c r="D123" s="1066"/>
      <c r="E123" s="1066"/>
      <c r="F123" s="1066"/>
      <c r="G123" s="1066"/>
      <c r="H123" s="1066"/>
      <c r="I123" s="1066"/>
      <c r="J123" s="1066"/>
      <c r="K123" s="1066"/>
      <c r="L123" s="1066"/>
      <c r="M123" s="108"/>
    </row>
    <row r="124" spans="1:13">
      <c r="A124" s="84"/>
      <c r="B124" s="94"/>
      <c r="C124" s="84"/>
      <c r="D124" s="86"/>
      <c r="E124" s="86"/>
      <c r="F124" s="86"/>
      <c r="G124" s="85"/>
      <c r="H124" s="85"/>
      <c r="I124" s="85"/>
      <c r="J124" s="85"/>
      <c r="K124" s="85"/>
      <c r="L124" s="85"/>
      <c r="M124" s="108"/>
    </row>
    <row r="125" spans="1:13">
      <c r="A125" s="84"/>
      <c r="B125" s="94"/>
      <c r="C125" s="84"/>
      <c r="D125" s="86"/>
      <c r="E125" s="86"/>
      <c r="F125" s="86"/>
      <c r="G125" s="85"/>
      <c r="H125" s="85"/>
      <c r="I125" s="85"/>
      <c r="J125" s="85"/>
      <c r="K125" s="85"/>
      <c r="L125" s="85"/>
      <c r="M125" s="108"/>
    </row>
    <row r="126" spans="1:13">
      <c r="A126" s="84"/>
      <c r="B126" s="94"/>
      <c r="C126" s="84"/>
      <c r="D126" s="86"/>
      <c r="E126" s="86"/>
      <c r="F126" s="86"/>
      <c r="G126" s="85"/>
      <c r="H126" s="85"/>
      <c r="I126" s="85"/>
      <c r="J126" s="85"/>
      <c r="K126" s="85"/>
      <c r="L126" s="85"/>
      <c r="M126" s="108"/>
    </row>
    <row r="127" spans="1:13">
      <c r="A127" s="84"/>
      <c r="B127" s="94"/>
      <c r="C127" s="84"/>
      <c r="D127" s="86"/>
      <c r="E127" s="86"/>
      <c r="F127" s="86"/>
      <c r="G127" s="85"/>
      <c r="H127" s="85"/>
      <c r="I127" s="85"/>
      <c r="J127" s="85"/>
      <c r="K127" s="85"/>
      <c r="L127" s="85"/>
      <c r="M127" s="108"/>
    </row>
    <row r="128" spans="1:13">
      <c r="A128" s="84"/>
      <c r="B128" s="94"/>
      <c r="C128" s="84"/>
      <c r="D128" s="86"/>
      <c r="E128" s="86"/>
      <c r="F128" s="86"/>
      <c r="G128" s="85"/>
      <c r="H128" s="85"/>
      <c r="I128" s="85"/>
      <c r="J128" s="85"/>
      <c r="K128" s="85"/>
      <c r="L128" s="85"/>
      <c r="M128" s="108"/>
    </row>
    <row r="129" spans="1:13">
      <c r="A129" s="84"/>
      <c r="B129" s="85" t="s">
        <v>271</v>
      </c>
      <c r="C129" s="84"/>
      <c r="D129" s="86"/>
      <c r="E129" s="85" t="s">
        <v>271</v>
      </c>
      <c r="F129" s="86"/>
      <c r="G129" s="85"/>
      <c r="H129" s="85"/>
      <c r="I129" s="85"/>
      <c r="J129" s="85" t="s">
        <v>271</v>
      </c>
      <c r="K129" s="85"/>
      <c r="L129" s="85"/>
      <c r="M129" s="108"/>
    </row>
    <row r="130" spans="1:13">
      <c r="A130" s="84"/>
      <c r="B130" s="115">
        <f>IF(DATOS!E16="Persona Jurídica",DATOS!G20,DATOS!G16)</f>
        <v>0</v>
      </c>
      <c r="C130" s="84"/>
      <c r="D130" s="86"/>
      <c r="E130" s="128">
        <f>IF(DATOS!E10="CONTRATO DE OBRA",IF(DATOS!E24="Persona Jurídica",DATOS!G28,DATOS!G24),DATOS!G30)</f>
        <v>0</v>
      </c>
      <c r="F130" s="86"/>
      <c r="G130" s="85"/>
      <c r="H130" s="85"/>
      <c r="I130" s="85"/>
      <c r="J130" s="874">
        <f>+DATOS!G30</f>
        <v>0</v>
      </c>
      <c r="K130" s="85"/>
      <c r="L130" s="85"/>
      <c r="M130" s="108"/>
    </row>
    <row r="131" spans="1:13">
      <c r="A131" s="84"/>
      <c r="B131" s="85" t="str">
        <f>IF(DATOS!E16="Persona Jurídica",DATOS!G16,"CONTRATISTA")</f>
        <v>CONTRATISTA</v>
      </c>
      <c r="C131" s="84"/>
      <c r="D131" s="86"/>
      <c r="E131" s="127" t="str">
        <f>IF(DATOS!E24="Persona Jurídica",DATOS!G24,"INTERVENTOR")</f>
        <v>INTERVENTOR</v>
      </c>
      <c r="F131" s="86"/>
      <c r="G131" s="85"/>
      <c r="H131" s="85"/>
      <c r="I131" s="85"/>
      <c r="J131" s="82" t="s">
        <v>1143</v>
      </c>
      <c r="K131" s="85"/>
      <c r="L131" s="85"/>
      <c r="M131" s="108"/>
    </row>
    <row r="132" spans="1:13">
      <c r="A132" s="84"/>
      <c r="B132" s="85" t="str">
        <f>IF(DATOS!E16="Persona jurídica","CONTRATISTA"," ")</f>
        <v xml:space="preserve"> </v>
      </c>
      <c r="C132" s="84"/>
      <c r="D132" s="86"/>
      <c r="E132" s="127" t="str">
        <f>IF(DATOS!E24="Persona jurídica","INTERVENTOR"," ")</f>
        <v xml:space="preserve"> </v>
      </c>
      <c r="F132" s="86"/>
      <c r="G132" s="85"/>
      <c r="H132" s="85"/>
      <c r="I132" s="85"/>
      <c r="K132" s="85"/>
      <c r="L132" s="85"/>
      <c r="M132" s="108"/>
    </row>
    <row r="133" spans="1:13">
      <c r="A133" s="84"/>
      <c r="B133" s="85"/>
      <c r="C133" s="84"/>
      <c r="D133" s="86"/>
      <c r="E133" s="86"/>
      <c r="F133" s="86"/>
      <c r="G133" s="85"/>
      <c r="H133" s="85"/>
      <c r="I133" s="85"/>
      <c r="J133" s="85"/>
      <c r="K133" s="85"/>
      <c r="L133" s="85"/>
      <c r="M133" s="108"/>
    </row>
    <row r="134" spans="1:13">
      <c r="A134" s="84"/>
      <c r="B134" s="85"/>
      <c r="C134" s="84"/>
      <c r="D134" s="86"/>
      <c r="E134" s="86"/>
      <c r="F134" s="86"/>
      <c r="G134" s="85"/>
      <c r="H134" s="85"/>
      <c r="I134" s="85"/>
      <c r="J134" s="85"/>
      <c r="K134" s="85"/>
      <c r="L134" s="85"/>
      <c r="M134" s="108"/>
    </row>
    <row r="135" spans="1:13">
      <c r="A135" s="84"/>
      <c r="B135" s="85"/>
      <c r="C135" s="84"/>
      <c r="D135" s="86"/>
      <c r="E135" s="86"/>
      <c r="F135" s="86"/>
      <c r="G135" s="85"/>
      <c r="H135" s="85"/>
      <c r="I135" s="85"/>
      <c r="J135" s="85"/>
      <c r="K135" s="85"/>
      <c r="L135" s="85"/>
      <c r="M135" s="108"/>
    </row>
    <row r="136" spans="1:13">
      <c r="B136" s="85"/>
      <c r="C136" s="84"/>
      <c r="D136" s="86"/>
      <c r="E136" s="86"/>
      <c r="F136" s="86"/>
      <c r="G136" s="85"/>
      <c r="H136" s="85"/>
      <c r="I136" s="85"/>
      <c r="J136" s="85"/>
      <c r="K136" s="85"/>
      <c r="L136" s="85"/>
      <c r="M136" s="108"/>
    </row>
    <row r="137" spans="1:13">
      <c r="A137" s="901" t="s">
        <v>1149</v>
      </c>
      <c r="B137" s="85"/>
      <c r="C137" s="84"/>
      <c r="D137" s="86"/>
      <c r="E137" s="873"/>
      <c r="F137" s="873"/>
      <c r="G137" s="875"/>
      <c r="H137" s="85"/>
      <c r="I137" s="85"/>
      <c r="J137" s="85"/>
      <c r="K137" s="85"/>
      <c r="L137" s="85"/>
      <c r="M137" s="108"/>
    </row>
    <row r="138" spans="1:13">
      <c r="A138" s="901" t="s">
        <v>1150</v>
      </c>
      <c r="B138" s="85"/>
      <c r="C138" s="84"/>
      <c r="D138" s="86"/>
      <c r="E138" s="115">
        <f>DATOS!E42</f>
        <v>0</v>
      </c>
      <c r="F138" s="86"/>
      <c r="G138" s="85"/>
      <c r="H138" s="85"/>
      <c r="I138" s="85"/>
      <c r="J138" s="85"/>
      <c r="K138" s="85"/>
      <c r="L138" s="85"/>
      <c r="M138" s="108"/>
    </row>
    <row r="139" spans="1:13">
      <c r="A139" s="901" t="s">
        <v>1151</v>
      </c>
      <c r="B139" s="85"/>
      <c r="C139" s="84"/>
      <c r="D139" s="86"/>
      <c r="E139" s="85" t="s">
        <v>330</v>
      </c>
      <c r="F139" s="86"/>
      <c r="G139" s="85"/>
      <c r="H139" s="85"/>
      <c r="I139" s="85"/>
      <c r="J139" s="85"/>
      <c r="K139" s="85"/>
      <c r="L139" s="85"/>
      <c r="M139" s="108"/>
    </row>
    <row r="140" spans="1:13">
      <c r="B140" s="85"/>
      <c r="C140" s="84"/>
      <c r="D140" s="86"/>
      <c r="E140" s="85" t="s">
        <v>270</v>
      </c>
      <c r="F140" s="86"/>
      <c r="G140" s="85"/>
      <c r="H140" s="85"/>
      <c r="I140" s="85"/>
      <c r="J140" s="85"/>
      <c r="K140" s="85"/>
      <c r="L140" s="85"/>
      <c r="M140" s="108"/>
    </row>
    <row r="141" spans="1:13">
      <c r="A141" s="84"/>
      <c r="B141" s="85"/>
      <c r="C141" s="84"/>
      <c r="D141" s="86"/>
      <c r="E141" s="86"/>
      <c r="F141" s="86"/>
      <c r="G141" s="85"/>
      <c r="H141" s="85"/>
      <c r="I141" s="85"/>
      <c r="J141" s="85"/>
      <c r="K141" s="85"/>
      <c r="L141" s="85"/>
      <c r="M141" s="108"/>
    </row>
    <row r="142" spans="1:13">
      <c r="A142" s="84"/>
      <c r="B142" s="85"/>
      <c r="C142" s="84"/>
      <c r="D142" s="86"/>
      <c r="E142" s="86"/>
      <c r="F142" s="86"/>
      <c r="G142" s="85"/>
      <c r="H142" s="85"/>
      <c r="I142" s="85"/>
      <c r="J142" s="85"/>
      <c r="K142" s="85"/>
      <c r="L142" s="85"/>
      <c r="M142" s="108"/>
    </row>
    <row r="143" spans="1:13">
      <c r="A143" s="84"/>
      <c r="B143" s="85"/>
      <c r="C143" s="84"/>
      <c r="D143" s="86"/>
      <c r="E143" s="86"/>
      <c r="F143" s="86"/>
      <c r="G143" s="85"/>
      <c r="H143" s="85"/>
      <c r="I143" s="85"/>
      <c r="J143" s="85"/>
      <c r="K143" s="85"/>
      <c r="L143" s="85"/>
      <c r="M143" s="108"/>
    </row>
    <row r="144" spans="1:13">
      <c r="A144" s="84"/>
      <c r="B144" s="85"/>
      <c r="C144" s="84"/>
      <c r="D144" s="86"/>
      <c r="E144" s="86"/>
      <c r="F144" s="86"/>
      <c r="G144" s="85"/>
      <c r="H144" s="85"/>
      <c r="I144" s="85"/>
      <c r="J144" s="85"/>
      <c r="K144" s="85"/>
      <c r="L144" s="85"/>
      <c r="M144" s="108"/>
    </row>
    <row r="145" spans="1:13">
      <c r="A145" s="84"/>
      <c r="B145" s="85"/>
      <c r="C145" s="84"/>
      <c r="D145" s="86"/>
      <c r="E145" s="86"/>
      <c r="F145" s="86"/>
      <c r="G145" s="85"/>
      <c r="H145" s="85"/>
      <c r="I145" s="85"/>
      <c r="J145" s="85"/>
      <c r="K145" s="85"/>
      <c r="L145" s="85"/>
      <c r="M145" s="108"/>
    </row>
    <row r="146" spans="1:13">
      <c r="A146" s="84"/>
      <c r="B146" s="85"/>
      <c r="C146" s="84"/>
      <c r="D146" s="86"/>
      <c r="E146" s="86"/>
      <c r="F146" s="86"/>
      <c r="G146" s="85"/>
      <c r="H146" s="85"/>
      <c r="I146" s="85"/>
      <c r="J146" s="85"/>
      <c r="K146" s="85"/>
      <c r="L146" s="85"/>
      <c r="M146" s="108"/>
    </row>
    <row r="147" spans="1:13">
      <c r="A147" s="84"/>
      <c r="B147" s="85"/>
      <c r="C147" s="84"/>
      <c r="D147" s="86"/>
      <c r="E147" s="86"/>
      <c r="F147" s="86"/>
      <c r="G147" s="85"/>
      <c r="H147" s="85"/>
      <c r="I147" s="85"/>
      <c r="J147" s="85"/>
      <c r="K147" s="85"/>
      <c r="L147" s="85"/>
      <c r="M147" s="108"/>
    </row>
    <row r="148" spans="1:13">
      <c r="A148" s="84"/>
      <c r="B148" s="85"/>
      <c r="C148" s="84"/>
      <c r="D148" s="86"/>
      <c r="E148" s="86"/>
      <c r="F148" s="86"/>
      <c r="G148" s="85"/>
      <c r="H148" s="85"/>
      <c r="I148" s="85"/>
      <c r="J148" s="85"/>
      <c r="K148" s="85"/>
      <c r="L148" s="85"/>
      <c r="M148" s="108"/>
    </row>
    <row r="149" spans="1:13">
      <c r="A149" s="84"/>
      <c r="B149" s="85"/>
      <c r="C149" s="84"/>
      <c r="D149" s="86"/>
      <c r="E149" s="86"/>
      <c r="F149" s="86"/>
      <c r="G149" s="85"/>
      <c r="H149" s="85"/>
      <c r="I149" s="85"/>
      <c r="J149" s="85"/>
      <c r="K149" s="85"/>
      <c r="L149" s="85"/>
      <c r="M149" s="108"/>
    </row>
    <row r="150" spans="1:13">
      <c r="A150" s="84"/>
      <c r="B150" s="85"/>
      <c r="C150" s="84"/>
      <c r="D150" s="86"/>
      <c r="E150" s="86"/>
      <c r="F150" s="86"/>
      <c r="G150" s="85"/>
      <c r="H150" s="85"/>
      <c r="I150" s="85"/>
      <c r="J150" s="85"/>
      <c r="K150" s="85"/>
      <c r="L150" s="85"/>
      <c r="M150" s="108"/>
    </row>
    <row r="151" spans="1:13">
      <c r="A151" s="84"/>
      <c r="B151" s="85"/>
      <c r="C151" s="84"/>
      <c r="D151" s="86"/>
      <c r="E151" s="86"/>
      <c r="F151" s="86"/>
      <c r="G151" s="85"/>
      <c r="H151" s="85"/>
      <c r="I151" s="85"/>
      <c r="J151" s="85"/>
      <c r="K151" s="85"/>
      <c r="L151" s="85"/>
      <c r="M151" s="108"/>
    </row>
    <row r="152" spans="1:13">
      <c r="A152" s="84"/>
      <c r="B152" s="85"/>
      <c r="C152" s="84"/>
      <c r="D152" s="86"/>
      <c r="E152" s="86"/>
      <c r="F152" s="86"/>
      <c r="G152" s="85"/>
      <c r="H152" s="85"/>
      <c r="I152" s="85"/>
      <c r="J152" s="85"/>
      <c r="K152" s="85"/>
      <c r="L152" s="85"/>
      <c r="M152" s="108"/>
    </row>
    <row r="153" spans="1:13">
      <c r="A153" s="84"/>
      <c r="B153" s="85"/>
      <c r="C153" s="84"/>
      <c r="D153" s="86"/>
      <c r="E153" s="86"/>
      <c r="F153" s="86"/>
      <c r="G153" s="85"/>
      <c r="H153" s="85"/>
      <c r="I153" s="85"/>
      <c r="J153" s="85"/>
      <c r="K153" s="85"/>
      <c r="L153" s="85"/>
      <c r="M153" s="108"/>
    </row>
    <row r="154" spans="1:13">
      <c r="A154" s="84"/>
      <c r="B154" s="85"/>
      <c r="C154" s="84"/>
      <c r="D154" s="86"/>
      <c r="E154" s="86"/>
      <c r="F154" s="86"/>
      <c r="G154" s="85"/>
      <c r="H154" s="85"/>
      <c r="I154" s="85"/>
      <c r="J154" s="85"/>
      <c r="K154" s="85"/>
      <c r="L154" s="85"/>
      <c r="M154" s="108"/>
    </row>
    <row r="155" spans="1:13">
      <c r="A155" s="84"/>
      <c r="B155" s="85"/>
      <c r="C155" s="84"/>
      <c r="D155" s="86"/>
      <c r="E155" s="86"/>
      <c r="F155" s="86"/>
      <c r="G155" s="85"/>
      <c r="H155" s="85"/>
      <c r="I155" s="85"/>
      <c r="J155" s="85"/>
      <c r="K155" s="85"/>
      <c r="L155" s="85"/>
      <c r="M155" s="108"/>
    </row>
    <row r="156" spans="1:13">
      <c r="A156" s="84"/>
      <c r="B156" s="85"/>
      <c r="C156" s="84"/>
      <c r="D156" s="86"/>
      <c r="E156" s="86"/>
      <c r="F156" s="86"/>
      <c r="G156" s="85"/>
      <c r="H156" s="85"/>
      <c r="I156" s="85"/>
      <c r="J156" s="85"/>
      <c r="K156" s="85"/>
      <c r="L156" s="85"/>
      <c r="M156" s="108"/>
    </row>
    <row r="157" spans="1:13">
      <c r="A157" s="84"/>
      <c r="B157" s="85"/>
      <c r="C157" s="84"/>
      <c r="D157" s="86"/>
      <c r="E157" s="86"/>
      <c r="F157" s="86"/>
      <c r="G157" s="85"/>
      <c r="H157" s="85"/>
      <c r="I157" s="85"/>
      <c r="J157" s="85"/>
      <c r="K157" s="85"/>
      <c r="L157" s="85"/>
      <c r="M157" s="108"/>
    </row>
    <row r="158" spans="1:13">
      <c r="A158" s="84"/>
      <c r="B158" s="85"/>
      <c r="C158" s="84"/>
      <c r="D158" s="86"/>
      <c r="E158" s="86"/>
      <c r="F158" s="86"/>
      <c r="G158" s="85"/>
      <c r="H158" s="85"/>
      <c r="I158" s="85"/>
      <c r="J158" s="85"/>
      <c r="K158" s="85"/>
      <c r="L158" s="85"/>
      <c r="M158" s="108"/>
    </row>
    <row r="159" spans="1:13">
      <c r="A159" s="84"/>
      <c r="B159" s="85"/>
      <c r="C159" s="84"/>
      <c r="D159" s="86"/>
      <c r="E159" s="86"/>
      <c r="F159" s="86"/>
      <c r="G159" s="85"/>
      <c r="H159" s="85"/>
      <c r="I159" s="85"/>
      <c r="J159" s="85"/>
      <c r="K159" s="85"/>
      <c r="L159" s="85"/>
      <c r="M159" s="108"/>
    </row>
    <row r="160" spans="1:13">
      <c r="A160" s="84"/>
      <c r="B160" s="85"/>
      <c r="C160" s="84"/>
      <c r="D160" s="86"/>
      <c r="E160" s="86"/>
      <c r="F160" s="86"/>
      <c r="G160" s="85"/>
      <c r="H160" s="85"/>
      <c r="I160" s="85"/>
      <c r="J160" s="85"/>
      <c r="K160" s="85"/>
      <c r="L160" s="85"/>
      <c r="M160" s="108"/>
    </row>
    <row r="161" spans="1:13">
      <c r="A161" s="84"/>
      <c r="B161" s="85"/>
      <c r="C161" s="84"/>
      <c r="D161" s="86"/>
      <c r="E161" s="86"/>
      <c r="F161" s="86"/>
      <c r="G161" s="85"/>
      <c r="H161" s="85"/>
      <c r="I161" s="85"/>
      <c r="J161" s="85"/>
      <c r="K161" s="85"/>
      <c r="L161" s="85"/>
      <c r="M161" s="108"/>
    </row>
    <row r="162" spans="1:13">
      <c r="A162" s="84"/>
      <c r="B162" s="85"/>
      <c r="C162" s="84"/>
      <c r="D162" s="86"/>
      <c r="E162" s="86"/>
      <c r="F162" s="86"/>
      <c r="G162" s="85"/>
      <c r="H162" s="85"/>
      <c r="I162" s="85"/>
      <c r="J162" s="85"/>
      <c r="K162" s="85"/>
      <c r="L162" s="85"/>
      <c r="M162" s="108"/>
    </row>
    <row r="163" spans="1:13">
      <c r="A163" s="84"/>
      <c r="B163" s="85"/>
      <c r="C163" s="84"/>
      <c r="D163" s="86"/>
      <c r="E163" s="86"/>
      <c r="F163" s="86"/>
      <c r="G163" s="85"/>
      <c r="H163" s="85"/>
      <c r="I163" s="85"/>
      <c r="J163" s="85"/>
      <c r="K163" s="85"/>
      <c r="L163" s="85"/>
      <c r="M163" s="108"/>
    </row>
    <row r="164" spans="1:13">
      <c r="A164" s="84"/>
      <c r="B164" s="85"/>
      <c r="C164" s="84"/>
      <c r="D164" s="86"/>
      <c r="E164" s="86"/>
      <c r="F164" s="86"/>
      <c r="G164" s="85"/>
      <c r="H164" s="85"/>
      <c r="I164" s="85"/>
      <c r="J164" s="85"/>
      <c r="K164" s="85"/>
      <c r="L164" s="85"/>
      <c r="M164" s="108"/>
    </row>
    <row r="165" spans="1:13">
      <c r="A165" s="84"/>
      <c r="B165" s="85"/>
      <c r="C165" s="84"/>
      <c r="D165" s="86"/>
      <c r="E165" s="86"/>
      <c r="F165" s="86"/>
      <c r="G165" s="85"/>
      <c r="H165" s="85"/>
      <c r="I165" s="85"/>
      <c r="J165" s="85"/>
      <c r="K165" s="85"/>
      <c r="L165" s="85"/>
      <c r="M165" s="108"/>
    </row>
    <row r="166" spans="1:13">
      <c r="A166" s="84"/>
      <c r="B166" s="85"/>
      <c r="C166" s="84"/>
      <c r="D166" s="86"/>
      <c r="E166" s="86"/>
      <c r="F166" s="86"/>
      <c r="G166" s="85"/>
      <c r="H166" s="85"/>
      <c r="I166" s="85"/>
      <c r="J166" s="85"/>
      <c r="K166" s="85"/>
      <c r="L166" s="85"/>
      <c r="M166" s="108"/>
    </row>
    <row r="167" spans="1:13">
      <c r="A167" s="84"/>
      <c r="B167" s="85"/>
      <c r="C167" s="84"/>
      <c r="D167" s="86"/>
      <c r="E167" s="86"/>
      <c r="F167" s="86"/>
      <c r="G167" s="85"/>
      <c r="H167" s="85"/>
      <c r="I167" s="85"/>
      <c r="J167" s="85"/>
      <c r="K167" s="85"/>
      <c r="L167" s="85"/>
      <c r="M167" s="108"/>
    </row>
  </sheetData>
  <mergeCells count="31">
    <mergeCell ref="F7:G7"/>
    <mergeCell ref="F8:G8"/>
    <mergeCell ref="F9:G9"/>
    <mergeCell ref="F2:G2"/>
    <mergeCell ref="F3:G3"/>
    <mergeCell ref="F4:G4"/>
    <mergeCell ref="F5:G5"/>
    <mergeCell ref="F6:G6"/>
    <mergeCell ref="K12:L13"/>
    <mergeCell ref="F13:G13"/>
    <mergeCell ref="A15:A16"/>
    <mergeCell ref="B15:B16"/>
    <mergeCell ref="C15:F15"/>
    <mergeCell ref="G15:H15"/>
    <mergeCell ref="I15:J15"/>
    <mergeCell ref="K15:L15"/>
    <mergeCell ref="A10:A13"/>
    <mergeCell ref="B10:B13"/>
    <mergeCell ref="F10:G10"/>
    <mergeCell ref="F11:G11"/>
    <mergeCell ref="F12:G12"/>
    <mergeCell ref="K4:L11"/>
    <mergeCell ref="A1:B9"/>
    <mergeCell ref="C1:J1"/>
    <mergeCell ref="B123:L123"/>
    <mergeCell ref="B69:C69"/>
    <mergeCell ref="B84:C84"/>
    <mergeCell ref="B86:C86"/>
    <mergeCell ref="B88:C88"/>
    <mergeCell ref="B90:C90"/>
    <mergeCell ref="C120:L120"/>
  </mergeCells>
  <conditionalFormatting sqref="F11:G11">
    <cfRule type="expression" dxfId="108" priority="23">
      <formula>$F$11&gt;0</formula>
    </cfRule>
  </conditionalFormatting>
  <conditionalFormatting sqref="F12:G12">
    <cfRule type="expression" dxfId="107" priority="22">
      <formula>$F$12&gt;0</formula>
    </cfRule>
  </conditionalFormatting>
  <conditionalFormatting sqref="F13:G13">
    <cfRule type="expression" dxfId="106" priority="21">
      <formula>$F$13&gt;0</formula>
    </cfRule>
  </conditionalFormatting>
  <conditionalFormatting sqref="J3">
    <cfRule type="expression" dxfId="105" priority="20">
      <formula>$J$3&gt;0</formula>
    </cfRule>
  </conditionalFormatting>
  <conditionalFormatting sqref="J4">
    <cfRule type="expression" dxfId="104" priority="19">
      <formula>$J$4&gt;0</formula>
    </cfRule>
  </conditionalFormatting>
  <conditionalFormatting sqref="J5">
    <cfRule type="expression" dxfId="103" priority="18">
      <formula>$J$5&gt;0</formula>
    </cfRule>
  </conditionalFormatting>
  <conditionalFormatting sqref="J6">
    <cfRule type="expression" dxfId="102" priority="17">
      <formula>$J$6&gt;0</formula>
    </cfRule>
  </conditionalFormatting>
  <conditionalFormatting sqref="J7">
    <cfRule type="expression" dxfId="101" priority="16">
      <formula>$J$7&gt;0</formula>
    </cfRule>
  </conditionalFormatting>
  <conditionalFormatting sqref="J8">
    <cfRule type="expression" dxfId="100" priority="15">
      <formula>$J$8&gt;0</formula>
    </cfRule>
  </conditionalFormatting>
  <conditionalFormatting sqref="J9">
    <cfRule type="expression" dxfId="99" priority="14">
      <formula>$J$9&gt;0</formula>
    </cfRule>
  </conditionalFormatting>
  <conditionalFormatting sqref="J10">
    <cfRule type="expression" dxfId="98" priority="12">
      <formula>$J$10&gt;0</formula>
    </cfRule>
    <cfRule type="expression" dxfId="97" priority="13">
      <formula>$J$10&gt;0</formula>
    </cfRule>
  </conditionalFormatting>
  <conditionalFormatting sqref="J11">
    <cfRule type="expression" dxfId="96" priority="11">
      <formula>$J$11&gt;0</formula>
    </cfRule>
  </conditionalFormatting>
  <conditionalFormatting sqref="J12">
    <cfRule type="expression" dxfId="95" priority="10">
      <formula>$J$12&gt;0</formula>
    </cfRule>
  </conditionalFormatting>
  <conditionalFormatting sqref="F4:G4">
    <cfRule type="expression" dxfId="94" priority="9">
      <formula>$F$4=" "</formula>
    </cfRule>
  </conditionalFormatting>
  <conditionalFormatting sqref="F6:G6">
    <cfRule type="expression" dxfId="93" priority="8">
      <formula>$F$6=" "</formula>
    </cfRule>
  </conditionalFormatting>
  <conditionalFormatting sqref="I17:I19">
    <cfRule type="expression" dxfId="92" priority="7">
      <formula>I17&gt;G17</formula>
    </cfRule>
  </conditionalFormatting>
  <conditionalFormatting sqref="I61 I63">
    <cfRule type="expression" dxfId="91" priority="6">
      <formula>I61&gt;G61</formula>
    </cfRule>
  </conditionalFormatting>
  <conditionalFormatting sqref="I71 I80">
    <cfRule type="expression" dxfId="90" priority="5">
      <formula>I71&gt;G71</formula>
    </cfRule>
  </conditionalFormatting>
  <conditionalFormatting sqref="I20:I60 I72:I78">
    <cfRule type="expression" dxfId="89" priority="4">
      <formula>$K20&gt;$G20</formula>
    </cfRule>
  </conditionalFormatting>
  <conditionalFormatting sqref="I62">
    <cfRule type="expression" dxfId="88" priority="3">
      <formula>I62&gt;G62</formula>
    </cfRule>
  </conditionalFormatting>
  <conditionalFormatting sqref="I79">
    <cfRule type="expression" dxfId="87" priority="2">
      <formula>I79&gt;G79</formula>
    </cfRule>
  </conditionalFormatting>
  <conditionalFormatting sqref="F114">
    <cfRule type="expression" dxfId="86" priority="1">
      <formula>$F$114&lt;&gt;$L$91</formula>
    </cfRule>
  </conditionalFormatting>
  <dataValidations count="1">
    <dataValidation allowBlank="1" showInputMessage="1" showErrorMessage="1" error="No Modificar" sqref="C17:F60"/>
  </dataValidations>
  <printOptions horizontalCentered="1"/>
  <pageMargins left="0.43307086614173229" right="0.43307086614173229" top="0.59055118110236227" bottom="0.59055118110236227" header="0.31496062992125984" footer="0.31496062992125984"/>
  <pageSetup scale="64" orientation="landscape" r:id="rId1"/>
  <headerFooter>
    <oddFooter>&amp;C&amp;"-,Cursiva"&amp;10&amp;A&amp;R&amp;"-,Cursiva"&amp;10Página &amp;P de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K56"/>
  <sheetViews>
    <sheetView view="pageBreakPreview" topLeftCell="A13" zoomScale="90" zoomScaleNormal="100" zoomScaleSheetLayoutView="90" workbookViewId="0">
      <selection activeCell="A54" sqref="A54:A56"/>
    </sheetView>
  </sheetViews>
  <sheetFormatPr baseColWidth="10" defaultColWidth="11.5703125" defaultRowHeight="14.25"/>
  <cols>
    <col min="1" max="1" width="22.85546875" style="42" customWidth="1"/>
    <col min="2" max="2" width="8.7109375" style="42" customWidth="1"/>
    <col min="3" max="3" width="37.42578125" style="42" customWidth="1"/>
    <col min="4" max="4" width="7.28515625" style="42" customWidth="1"/>
    <col min="5" max="5" width="2.28515625" style="42" customWidth="1"/>
    <col min="6" max="6" width="8.5703125" style="42" customWidth="1"/>
    <col min="7" max="7" width="6.28515625" style="42" customWidth="1"/>
    <col min="8" max="8" width="4.28515625" style="42" customWidth="1"/>
    <col min="9" max="9" width="11.7109375" style="42" customWidth="1"/>
    <col min="10" max="10" width="11.5703125" style="42" customWidth="1"/>
    <col min="11" max="11" width="0" style="42" hidden="1" customWidth="1"/>
    <col min="12" max="16384" width="11.5703125" style="42"/>
  </cols>
  <sheetData>
    <row r="1" spans="1:11" ht="24.6" customHeight="1">
      <c r="A1" s="972"/>
      <c r="B1" s="973" t="s">
        <v>276</v>
      </c>
      <c r="C1" s="973"/>
      <c r="D1" s="973"/>
      <c r="E1" s="973"/>
      <c r="F1" s="975" t="s">
        <v>90</v>
      </c>
      <c r="G1" s="975"/>
      <c r="H1" s="970" t="s">
        <v>1132</v>
      </c>
      <c r="I1" s="970"/>
      <c r="J1" s="41"/>
    </row>
    <row r="2" spans="1:11" ht="24.6" customHeight="1">
      <c r="A2" s="972"/>
      <c r="B2" s="973"/>
      <c r="C2" s="973"/>
      <c r="D2" s="973"/>
      <c r="E2" s="973"/>
      <c r="F2" s="975" t="s">
        <v>89</v>
      </c>
      <c r="G2" s="975"/>
      <c r="H2" s="970" t="s">
        <v>248</v>
      </c>
      <c r="I2" s="970"/>
      <c r="J2" s="41"/>
    </row>
    <row r="3" spans="1:11" ht="24.6" customHeight="1">
      <c r="A3" s="972"/>
      <c r="B3" s="970" t="s">
        <v>93</v>
      </c>
      <c r="C3" s="970"/>
      <c r="D3" s="970"/>
      <c r="E3" s="970"/>
      <c r="F3" s="1160" t="s">
        <v>88</v>
      </c>
      <c r="G3" s="1161"/>
      <c r="H3" s="971">
        <v>42705</v>
      </c>
      <c r="I3" s="970"/>
      <c r="J3" s="41"/>
    </row>
    <row r="4" spans="1:11" ht="34.9" customHeight="1">
      <c r="A4" s="1019" t="s">
        <v>277</v>
      </c>
      <c r="B4" s="1162"/>
      <c r="C4" s="1162"/>
      <c r="D4" s="1162"/>
      <c r="E4" s="1162"/>
      <c r="F4" s="1162"/>
      <c r="G4" s="1162"/>
      <c r="H4" s="1162"/>
      <c r="I4" s="1162"/>
      <c r="J4" s="41"/>
    </row>
    <row r="5" spans="1:11" ht="3" customHeight="1">
      <c r="A5" s="135"/>
      <c r="B5" s="138"/>
      <c r="C5" s="138"/>
      <c r="D5" s="138"/>
      <c r="E5" s="138"/>
      <c r="F5" s="138"/>
      <c r="G5" s="138"/>
      <c r="H5" s="138"/>
      <c r="I5" s="138"/>
      <c r="J5" s="41"/>
    </row>
    <row r="6" spans="1:11" ht="19.149999999999999" customHeight="1">
      <c r="A6" s="962" t="s">
        <v>1</v>
      </c>
      <c r="B6" s="962"/>
      <c r="C6" s="51">
        <f>DATOS!$E$10</f>
        <v>0</v>
      </c>
      <c r="D6" s="181" t="s">
        <v>92</v>
      </c>
      <c r="E6" s="974">
        <f>DATOS!E12</f>
        <v>0</v>
      </c>
      <c r="F6" s="974"/>
      <c r="G6" s="962" t="s">
        <v>86</v>
      </c>
      <c r="H6" s="962"/>
      <c r="I6" s="133">
        <f>DATOS!I12</f>
        <v>0</v>
      </c>
      <c r="J6" s="41"/>
    </row>
    <row r="7" spans="1:11" ht="19.149999999999999" customHeight="1">
      <c r="A7" s="962" t="s">
        <v>94</v>
      </c>
      <c r="B7" s="962"/>
      <c r="C7" s="963" t="s">
        <v>101</v>
      </c>
      <c r="D7" s="963"/>
      <c r="E7" s="963"/>
      <c r="F7" s="963"/>
      <c r="G7" s="963"/>
      <c r="H7" s="963"/>
      <c r="I7" s="963"/>
      <c r="J7" s="41"/>
    </row>
    <row r="8" spans="1:11" ht="19.149999999999999" customHeight="1">
      <c r="A8" s="962" t="s">
        <v>95</v>
      </c>
      <c r="B8" s="962"/>
      <c r="C8" s="963" t="s">
        <v>102</v>
      </c>
      <c r="D8" s="963"/>
      <c r="E8" s="963"/>
      <c r="F8" s="963"/>
      <c r="G8" s="963"/>
      <c r="H8" s="963"/>
      <c r="I8" s="963"/>
      <c r="J8" s="41"/>
    </row>
    <row r="9" spans="1:11" ht="19.149999999999999" customHeight="1">
      <c r="A9" s="962" t="str">
        <f>IF('SUSP 1'!C6="CONTRATO DE OBRA",("INTERVENTOR"),("SUPERVISOR"))</f>
        <v>SUPERVISOR</v>
      </c>
      <c r="B9" s="962"/>
      <c r="C9" s="963">
        <f>LOOKUP(A9,DATOS!C24:C30,DATOS!G24:G30)</f>
        <v>0</v>
      </c>
      <c r="D9" s="963"/>
      <c r="E9" s="963"/>
      <c r="F9" s="963"/>
      <c r="G9" s="963"/>
      <c r="H9" s="963"/>
      <c r="I9" s="963"/>
      <c r="K9" s="393" t="str">
        <f>LOOKUP(A9,DATOS!C24:C30,DATOS!M24:M30)</f>
        <v>la</v>
      </c>
    </row>
    <row r="10" spans="1:11" ht="19.149999999999999" customHeight="1">
      <c r="A10" s="962" t="s">
        <v>95</v>
      </c>
      <c r="B10" s="962"/>
      <c r="C10" s="963">
        <f>IF(A9=DATOS!C24,DATOS!E26,DATOS!E32)</f>
        <v>0</v>
      </c>
      <c r="D10" s="963"/>
      <c r="E10" s="963"/>
      <c r="F10" s="963"/>
      <c r="G10" s="963"/>
      <c r="H10" s="963"/>
      <c r="I10" s="963"/>
      <c r="K10" s="393"/>
    </row>
    <row r="11" spans="1:11" ht="19.149999999999999" customHeight="1">
      <c r="A11" s="962" t="s">
        <v>5</v>
      </c>
      <c r="B11" s="962"/>
      <c r="C11" s="963" t="str">
        <f>IF(DATOS!G28&gt;0,DATOS!G28,"N/A")</f>
        <v>N/A</v>
      </c>
      <c r="D11" s="963"/>
      <c r="E11" s="963"/>
      <c r="F11" s="963"/>
      <c r="G11" s="963"/>
      <c r="H11" s="963"/>
      <c r="I11" s="963"/>
      <c r="K11" s="393"/>
    </row>
    <row r="12" spans="1:11" ht="19.149999999999999" customHeight="1">
      <c r="A12" s="962" t="s">
        <v>107</v>
      </c>
      <c r="B12" s="962"/>
      <c r="C12" s="963">
        <f>DATOS!G16</f>
        <v>0</v>
      </c>
      <c r="D12" s="963"/>
      <c r="E12" s="963"/>
      <c r="F12" s="963"/>
      <c r="G12" s="963"/>
      <c r="H12" s="963"/>
      <c r="I12" s="963"/>
      <c r="K12" s="393" t="str">
        <f>DATOS!M16</f>
        <v>la</v>
      </c>
    </row>
    <row r="13" spans="1:11" ht="19.149999999999999" customHeight="1">
      <c r="A13" s="962" t="s">
        <v>95</v>
      </c>
      <c r="B13" s="962"/>
      <c r="C13" s="1163">
        <f>DATOS!E18</f>
        <v>0</v>
      </c>
      <c r="D13" s="963"/>
      <c r="E13" s="963"/>
      <c r="F13" s="963"/>
      <c r="G13" s="963"/>
      <c r="H13" s="963"/>
      <c r="I13" s="963"/>
      <c r="K13" s="393"/>
    </row>
    <row r="14" spans="1:11" ht="19.149999999999999" customHeight="1">
      <c r="A14" s="962" t="s">
        <v>5</v>
      </c>
      <c r="B14" s="962"/>
      <c r="C14" s="963" t="str">
        <f>IF(DATOS!G20&gt;0,DATOS!G20,"N/A")</f>
        <v>N/A</v>
      </c>
      <c r="D14" s="963"/>
      <c r="E14" s="963"/>
      <c r="F14" s="963"/>
      <c r="G14" s="963"/>
      <c r="H14" s="963"/>
      <c r="I14" s="963"/>
      <c r="K14" s="393" t="str">
        <f>DATOS!M20</f>
        <v>la</v>
      </c>
    </row>
    <row r="15" spans="1:11" ht="66.599999999999994" customHeight="1">
      <c r="A15" s="1164" t="s">
        <v>8</v>
      </c>
      <c r="B15" s="1164"/>
      <c r="C15" s="968">
        <f>DATOS!E38</f>
        <v>0</v>
      </c>
      <c r="D15" s="968"/>
      <c r="E15" s="968"/>
      <c r="F15" s="968"/>
      <c r="G15" s="968"/>
      <c r="H15" s="968"/>
      <c r="I15" s="968"/>
    </row>
    <row r="16" spans="1:11" ht="19.149999999999999" customHeight="1">
      <c r="A16" s="962" t="s">
        <v>12</v>
      </c>
      <c r="B16" s="962"/>
      <c r="C16" s="969">
        <f>DATOS!E46</f>
        <v>0</v>
      </c>
      <c r="D16" s="969"/>
      <c r="E16" s="969"/>
      <c r="F16" s="969"/>
      <c r="G16" s="969"/>
      <c r="H16" s="969"/>
      <c r="I16" s="969"/>
    </row>
    <row r="17" spans="1:10" ht="19.149999999999999" customHeight="1">
      <c r="A17" s="962" t="s">
        <v>278</v>
      </c>
      <c r="B17" s="962"/>
      <c r="C17" s="969">
        <f>DATOS!E60</f>
        <v>30000000</v>
      </c>
      <c r="D17" s="969"/>
      <c r="E17" s="969"/>
      <c r="F17" s="969"/>
      <c r="G17" s="969"/>
      <c r="H17" s="969"/>
      <c r="I17" s="969"/>
    </row>
    <row r="18" spans="1:10" ht="19.149999999999999" customHeight="1">
      <c r="A18" s="962" t="s">
        <v>279</v>
      </c>
      <c r="B18" s="962"/>
      <c r="C18" s="969">
        <f>DATOS!E62</f>
        <v>0</v>
      </c>
      <c r="D18" s="969"/>
      <c r="E18" s="969"/>
      <c r="F18" s="969"/>
      <c r="G18" s="969"/>
      <c r="H18" s="969"/>
      <c r="I18" s="969"/>
    </row>
    <row r="19" spans="1:10" ht="19.149999999999999" customHeight="1">
      <c r="A19" s="962" t="s">
        <v>11</v>
      </c>
      <c r="B19" s="962"/>
      <c r="C19" s="963" t="str">
        <f>CONCATENATE(DATOS!E44,DATOS!F44,DATOS!G44)</f>
        <v xml:space="preserve"> </v>
      </c>
      <c r="D19" s="963"/>
      <c r="E19" s="963"/>
      <c r="F19" s="963"/>
      <c r="G19" s="963"/>
      <c r="H19" s="963"/>
      <c r="I19" s="963"/>
    </row>
    <row r="20" spans="1:10" ht="19.149999999999999" customHeight="1">
      <c r="A20" s="962" t="s">
        <v>280</v>
      </c>
      <c r="B20" s="962"/>
      <c r="C20" s="963" t="str">
        <f>IF(DATOS!E64&gt;0,CONCATENATE(DATOS!E64,DATOS!F64,DATOS!G64),0)</f>
        <v>5 MESES</v>
      </c>
      <c r="D20" s="963"/>
      <c r="E20" s="963"/>
      <c r="F20" s="963"/>
      <c r="G20" s="963"/>
      <c r="H20" s="963"/>
      <c r="I20" s="963"/>
    </row>
    <row r="21" spans="1:10" ht="19.149999999999999" customHeight="1">
      <c r="A21" s="962" t="s">
        <v>281</v>
      </c>
      <c r="B21" s="962"/>
      <c r="C21" s="963">
        <f>IF(DATOS!E66&gt;0,CONCATENATE(DATOS!E66,DATOS!F66,DATOS!G66),0)</f>
        <v>0</v>
      </c>
      <c r="D21" s="963"/>
      <c r="E21" s="963"/>
      <c r="F21" s="963"/>
      <c r="G21" s="963"/>
      <c r="H21" s="963"/>
      <c r="I21" s="963"/>
    </row>
    <row r="22" spans="1:10" ht="19.149999999999999" customHeight="1">
      <c r="A22" s="962" t="s">
        <v>282</v>
      </c>
      <c r="B22" s="962"/>
      <c r="C22" s="963">
        <f>IF(DATOS!E68&gt;0,CONCATENATE(DATOS!E68,DATOS!F68,DATOS!G68),0)</f>
        <v>0</v>
      </c>
      <c r="D22" s="963"/>
      <c r="E22" s="963"/>
      <c r="F22" s="963"/>
      <c r="G22" s="963"/>
      <c r="H22" s="963"/>
      <c r="I22" s="963"/>
    </row>
    <row r="23" spans="1:10" ht="27.6" customHeight="1">
      <c r="A23" s="53"/>
      <c r="B23" s="53"/>
      <c r="C23" s="53"/>
      <c r="D23" s="53"/>
      <c r="E23" s="53"/>
      <c r="F23" s="53"/>
      <c r="G23" s="53"/>
      <c r="H23" s="53"/>
      <c r="I23" s="53"/>
    </row>
    <row r="24" spans="1:10" ht="91.15" customHeight="1">
      <c r="A24" s="961" t="str">
        <f>IF(DATOS!E16="Persona Jurídica",IF(DATOS!E24="Persona Jurídica","En Popayán el día "&amp;IF((TEXT(DATOS!E72,"d"))="1",("Uno" &amp;" ("&amp;TEXT(DATOS!E72,"dd")&amp;") del mes de "&amp;TEXT(DATOS!E72,"mmmm")&amp;" de "&amp;TEXT(DATOS!E72,"yyyy")&amp;",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referencia."),LETRAS(TEXT(DATOS!E72,"d"))&amp;" ("&amp;TEXT(DATOS!E72,"dd")&amp;") del mes de "&amp;TEXT(DATOS!E72,"mmmm")&amp;" de "&amp;TEXT(DATOS!E72,"yyyy")&amp;",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referencia."),"En Popayán el día "&amp;IF((TEXT(DATOS!E72,"d"))="1",("Uno" &amp;" ("&amp;TEXT(DATOS!E72,"dd")&amp;") del mes de "&amp;TEXT(DATOS!E72,"mmmm")&amp;" de "&amp;TEXT(DATOS!E72,"yyyy")&amp;", se reunieron "&amp;DATOS!E40&amp;" en calidad de Gerente de Emcaservicios S.A. E.S.P.,"&amp;K9&amp;"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referencia."),LETRAS(TEXT(DATOS!E72,"d"))&amp;" ("&amp;TEXT(DATOS!E72,"dd")&amp;") del mes de "&amp;TEXT(DATOS!E72,"mmmm")&amp;" de "&amp;TEXT(DATOS!E72,"yyyy")&amp;", se reunieron "&amp;DATOS!E40&amp;" en calidad de Gerente de Emcaservicios S.A. E.S.P.,"&amp;K9&amp;"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referencia.")),IF(DATOS!E24="Persona Jurídica","En Popayán el día "&amp;IF((TEXT(DATOS!E72,"d"))="1",("Uno" &amp;" ("&amp;TEXT(DATOS!E72,"dd")&amp;") del mes de "&amp;TEXT(DATOS!E72,"mmmm")&amp;" de "&amp;TEXT(DATOS!E72,"yyyy")&amp;",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referencia."),LETRAS(TEXT(DATOS!E72,"d"))&amp;" ("&amp;TEXT(DATOS!E72,"dd")&amp;") del mes de "&amp;TEXT(DATOS!E72,"mmmm")&amp;" de "&amp;TEXT(DATOS!E72,"yyyy")&amp;",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referencia."),"En Popayán el día "&amp;IF((TEXT(DATOS!E72,"d"))="1",("Uno" &amp;" ("&amp;TEXT(DATOS!E72,"dd")&amp;") del mes de "&amp;TEXT(DATOS!E72,"mmmm")&amp;" de "&amp;TEXT(DATOS!E72,"yyyy")&amp;", se reunieron "&amp;DATOS!E40&amp;" en calidad de Gerente de Emcaservicios S.A. E.S.P.,"&amp;K9&amp;" "&amp;DATOS!E24&amp;" "&amp;C9&amp;", en calidad de "&amp;A9&amp;" del "&amp;DATOS!E10&amp;" No. "&amp;DATOS!E12&amp;" "&amp;DATOS!G12&amp;" "&amp;DATOS!I12&amp;", por una parte, y por la otra "&amp;K12&amp;" "&amp;DATOS!E16&amp;" "&amp;C12&amp;" en calidad de "&amp;A12&amp;", para acordar la suspensión del contrato en referencia."),LETRAS(TEXT(DATOS!E72,"d"))&amp;" ("&amp;TEXT(DATOS!E72,"dd")&amp;") del mes de "&amp;TEXT(DATOS!E72,"mmmm")&amp;" de "&amp;TEXT(DATOS!E72,"yyyy")&amp;", se reunieron "&amp;DATOS!E40&amp;" en calidad de Gerente de Emcaservicios S.A. E.S.P.,"&amp;K9&amp;" "&amp;DATOS!E24&amp;" "&amp;C9&amp;", en calidad de "&amp;A9&amp;" del "&amp;DATOS!E10&amp;" No. "&amp;DATOS!E12&amp;" "&amp;DATOS!G12&amp;" "&amp;DATOS!I12&amp;", por una parte, y por la otra "&amp;K12&amp;" "&amp;DATOS!E16&amp;" "&amp;C12&amp;" en calidad de "&amp;A12&amp;", para acordar la suspensión del contrato en referencia.")))</f>
        <v>En Popayán el día Veintiocho (28) del mes de February de 2016, se reunieron  en calidad de Gerente de Emcaservicios S.A. E.S.P.,la  0, en calidad de SUPERVISOR del  No.   , por una parte, y por la otra la  0 en calidad de CONTRATISTA, para acordar la suspensión del contrato en referencia.</v>
      </c>
      <c r="B24" s="961"/>
      <c r="C24" s="961"/>
      <c r="D24" s="961"/>
      <c r="E24" s="961"/>
      <c r="F24" s="961"/>
      <c r="G24" s="961"/>
      <c r="H24" s="961"/>
      <c r="I24" s="961"/>
      <c r="J24" s="50"/>
    </row>
    <row r="25" spans="1:10" ht="15">
      <c r="A25" s="271"/>
      <c r="B25" s="271"/>
      <c r="C25" s="271"/>
      <c r="D25" s="271"/>
      <c r="E25" s="271"/>
      <c r="F25" s="271"/>
      <c r="G25" s="271"/>
      <c r="H25" s="271"/>
      <c r="I25" s="271"/>
      <c r="J25" s="50"/>
    </row>
    <row r="26" spans="1:10" ht="15.75">
      <c r="A26" s="1165" t="s">
        <v>283</v>
      </c>
      <c r="B26" s="1165"/>
      <c r="C26" s="1165"/>
      <c r="D26" s="1165"/>
      <c r="E26" s="1165"/>
      <c r="F26" s="1165"/>
      <c r="G26" s="1165"/>
      <c r="H26" s="1165"/>
      <c r="I26" s="1165"/>
      <c r="J26" s="50"/>
    </row>
    <row r="27" spans="1:10" ht="15">
      <c r="A27" s="134"/>
      <c r="B27" s="134"/>
      <c r="C27" s="134"/>
      <c r="D27" s="134"/>
      <c r="E27" s="134"/>
      <c r="F27" s="134"/>
      <c r="G27" s="134"/>
      <c r="H27" s="134"/>
      <c r="I27" s="134"/>
      <c r="J27" s="50"/>
    </row>
    <row r="28" spans="1:10" ht="80.45" customHeight="1">
      <c r="A28" s="961" t="str">
        <f>"PRIMERO. - De común acuerdo suspender temporalmente por "&amp;LETRAS(DATOS!I76)&amp;" ("&amp;DATOS!I76&amp;") días el "&amp;DATOS!E10&amp;" No. "&amp;DATOS!E12&amp;" "&amp;DATOS!G12&amp;" "&amp;DATOS!I12&amp;", cuyo objeto es "&amp;DATOS!E38&amp;", teniendo en cuenta las siguientes consideraciones que han impedido la ejecución del mencionado contrato:"</f>
        <v>PRIMERO. - De común acuerdo suspender temporalmente por Treinta y Un (31) días el  No.   , cuyo objeto es , teniendo en cuenta las siguientes consideraciones que han impedido la ejecución del mencionado contrato:</v>
      </c>
      <c r="B28" s="961"/>
      <c r="C28" s="961"/>
      <c r="D28" s="961"/>
      <c r="E28" s="961"/>
      <c r="F28" s="961"/>
      <c r="G28" s="961"/>
      <c r="H28" s="961"/>
      <c r="I28" s="961"/>
      <c r="J28" s="50"/>
    </row>
    <row r="29" spans="1:10" ht="64.150000000000006" customHeight="1">
      <c r="A29" s="1166" t="s">
        <v>384</v>
      </c>
      <c r="B29" s="961"/>
      <c r="C29" s="961"/>
      <c r="D29" s="961"/>
      <c r="E29" s="961"/>
      <c r="F29" s="961"/>
      <c r="G29" s="961"/>
      <c r="H29" s="961"/>
      <c r="I29" s="961"/>
      <c r="J29" s="50"/>
    </row>
    <row r="30" spans="1:10" ht="15">
      <c r="A30" s="134"/>
      <c r="B30" s="134"/>
      <c r="C30" s="134"/>
      <c r="D30" s="134"/>
      <c r="E30" s="134"/>
      <c r="F30" s="134"/>
      <c r="G30" s="134"/>
      <c r="H30" s="134"/>
      <c r="I30" s="134"/>
      <c r="J30" s="50"/>
    </row>
    <row r="31" spans="1:10" ht="107.45" customHeight="1">
      <c r="A31" s="961" t="s">
        <v>385</v>
      </c>
      <c r="B31" s="961"/>
      <c r="C31" s="961"/>
      <c r="D31" s="961"/>
      <c r="E31" s="961"/>
      <c r="F31" s="961"/>
      <c r="G31" s="961"/>
      <c r="H31" s="961"/>
      <c r="I31" s="961"/>
      <c r="J31" s="50"/>
    </row>
    <row r="32" spans="1:10" ht="15">
      <c r="A32" s="53"/>
      <c r="B32" s="53"/>
      <c r="C32" s="53"/>
      <c r="D32" s="53"/>
      <c r="E32" s="53"/>
      <c r="F32" s="53"/>
      <c r="G32" s="53"/>
      <c r="H32" s="53"/>
      <c r="I32" s="53"/>
    </row>
    <row r="33" spans="1:10" ht="31.9" customHeight="1">
      <c r="A33" s="964" t="str">
        <f>"Para constancia de lo anterior, se firma en Popayán (Cauca) el día "&amp;IF((TEXT(DATOS!E72,"d"))="1",("Uno"&amp;" ("&amp;TEXT(DATOS!E72,"dd")&amp;") del mes de "&amp;TEXT(DATOS!E72,"mmmm")&amp;" de "&amp;LETRAS(TEXT(DATOS!E72,"YYYY"))&amp;" ("&amp;TEXT(DATOS!E72,"yyyy"))&amp;").",LETRAS(TEXT(DATOS!E72,"d"))&amp;" ("&amp;TEXT(DATOS!E72,"dd")&amp;") del mes de "&amp;TEXT(DATOS!E72,"mmmm")&amp;" de "&amp;LETRAS(TEXT(DATOS!E72,"YYYY"))&amp;" ("&amp;TEXT(DATOS!E72,"yyyy")&amp;").")</f>
        <v>Para constancia de lo anterior, se firma en Popayán (Cauca) el día Veintiocho (28) del mes de February de Dos Mil Dieciséis (2016).</v>
      </c>
      <c r="B33" s="964"/>
      <c r="C33" s="964"/>
      <c r="D33" s="964"/>
      <c r="E33" s="964"/>
      <c r="F33" s="964"/>
      <c r="G33" s="964"/>
      <c r="H33" s="964"/>
      <c r="I33" s="964"/>
    </row>
    <row r="34" spans="1:10" ht="15">
      <c r="A34" s="961"/>
      <c r="B34" s="961"/>
      <c r="C34" s="961"/>
      <c r="D34" s="961"/>
      <c r="E34" s="961"/>
      <c r="F34" s="961"/>
      <c r="G34" s="961"/>
      <c r="H34" s="961"/>
      <c r="I34" s="961"/>
      <c r="J34" s="50"/>
    </row>
    <row r="35" spans="1:10" ht="15">
      <c r="A35" s="53"/>
      <c r="B35" s="53"/>
      <c r="C35" s="53"/>
      <c r="D35" s="53"/>
      <c r="E35" s="53"/>
      <c r="F35" s="53"/>
      <c r="G35" s="53"/>
      <c r="H35" s="53"/>
      <c r="I35" s="53"/>
    </row>
    <row r="36" spans="1:10" ht="15">
      <c r="A36" s="53"/>
      <c r="B36" s="53"/>
      <c r="C36" s="53"/>
      <c r="D36" s="53"/>
      <c r="E36" s="53"/>
      <c r="F36" s="53"/>
      <c r="G36" s="53"/>
      <c r="H36" s="53"/>
      <c r="I36" s="53"/>
    </row>
    <row r="37" spans="1:10" ht="15">
      <c r="A37" s="53"/>
      <c r="B37" s="53"/>
      <c r="C37" s="53"/>
      <c r="D37" s="53"/>
      <c r="E37" s="53"/>
      <c r="F37" s="53"/>
      <c r="G37" s="53"/>
      <c r="H37" s="53"/>
      <c r="I37" s="53"/>
    </row>
    <row r="38" spans="1:10" ht="15">
      <c r="A38" s="53"/>
      <c r="B38" s="53"/>
      <c r="C38" s="53"/>
      <c r="D38" s="53"/>
      <c r="E38" s="53"/>
      <c r="F38" s="53"/>
      <c r="G38" s="53"/>
      <c r="H38" s="53"/>
      <c r="I38" s="53"/>
    </row>
    <row r="39" spans="1:10" ht="15.75">
      <c r="A39" s="53"/>
      <c r="B39" s="54">
        <f>IF(DATOS!E16="Persona Jurídica",DATOS!G20,DATOS!G16)</f>
        <v>0</v>
      </c>
      <c r="C39" s="53"/>
      <c r="D39" s="53"/>
      <c r="E39" s="53"/>
      <c r="F39" s="54">
        <f>IF(DATOS!E10="CONTRATO DE OBRA",IF(DATOS!E24="Persona Jurídica",DATOS!G28,DATOS!G24),DATOS!G30)</f>
        <v>0</v>
      </c>
      <c r="G39" s="53"/>
      <c r="H39" s="53"/>
      <c r="I39" s="53"/>
    </row>
    <row r="40" spans="1:10" ht="15">
      <c r="A40" s="53"/>
      <c r="B40" s="55" t="str">
        <f>IF(DATOS!E16="Persona Jurídica",DATOS!G16,"Contratista")</f>
        <v>Contratista</v>
      </c>
      <c r="C40" s="53"/>
      <c r="D40" s="53"/>
      <c r="E40" s="53"/>
      <c r="F40" s="55" t="str">
        <f>IF(DATOS!E24="Persona Jurídica",DATOS!G24,"Interventor")</f>
        <v>Interventor</v>
      </c>
      <c r="G40" s="53"/>
      <c r="H40" s="53"/>
      <c r="I40" s="53"/>
    </row>
    <row r="41" spans="1:10" ht="15">
      <c r="A41" s="53"/>
      <c r="B41" s="55" t="str">
        <f>IF(DATOS!E16="Persona jurídica","Contratista"," ")</f>
        <v xml:space="preserve"> </v>
      </c>
      <c r="C41" s="53"/>
      <c r="D41" s="53"/>
      <c r="E41" s="53"/>
      <c r="F41" s="55" t="str">
        <f>IF(DATOS!E24="Persona jurídica","Interventor"," ")</f>
        <v xml:space="preserve"> </v>
      </c>
      <c r="G41" s="53"/>
      <c r="H41" s="53"/>
      <c r="I41" s="53"/>
    </row>
    <row r="42" spans="1:10" ht="15">
      <c r="A42" s="53"/>
      <c r="B42" s="55"/>
      <c r="C42" s="53"/>
      <c r="D42" s="53"/>
      <c r="E42" s="53"/>
      <c r="F42" s="55"/>
      <c r="G42" s="53"/>
      <c r="H42" s="53"/>
      <c r="I42" s="53"/>
    </row>
    <row r="43" spans="1:10" ht="15">
      <c r="A43" s="53"/>
      <c r="B43" s="868"/>
      <c r="C43" s="53"/>
      <c r="D43" s="53"/>
      <c r="E43" s="53"/>
      <c r="F43" s="868"/>
      <c r="G43" s="53"/>
      <c r="H43" s="53"/>
      <c r="I43" s="53"/>
    </row>
    <row r="44" spans="1:10" ht="15">
      <c r="A44" s="53"/>
      <c r="B44" s="868"/>
      <c r="C44" s="53"/>
      <c r="D44" s="53"/>
      <c r="E44" s="53"/>
      <c r="F44" s="868"/>
      <c r="G44" s="53"/>
      <c r="H44" s="53"/>
      <c r="I44" s="53"/>
    </row>
    <row r="45" spans="1:10" ht="15">
      <c r="A45" s="53"/>
      <c r="B45" s="868"/>
      <c r="C45" s="53"/>
      <c r="D45" s="53"/>
      <c r="E45" s="53"/>
      <c r="F45" s="868"/>
      <c r="G45" s="53"/>
      <c r="H45" s="53"/>
      <c r="I45" s="53"/>
    </row>
    <row r="46" spans="1:10" ht="15.75">
      <c r="B46" s="867">
        <f>DATOS!G30</f>
        <v>0</v>
      </c>
      <c r="C46" s="53"/>
      <c r="D46" s="53"/>
      <c r="E46" s="53"/>
      <c r="F46" s="867">
        <f>+DATOS!E42</f>
        <v>0</v>
      </c>
      <c r="G46" s="53"/>
      <c r="H46" s="53"/>
      <c r="I46" s="53"/>
    </row>
    <row r="47" spans="1:10" ht="15">
      <c r="B47" s="868" t="s">
        <v>1143</v>
      </c>
      <c r="C47" s="53"/>
      <c r="D47" s="53"/>
      <c r="E47" s="53"/>
      <c r="F47" s="879" t="s">
        <v>330</v>
      </c>
      <c r="G47" s="53"/>
      <c r="H47" s="53"/>
      <c r="I47" s="53"/>
    </row>
    <row r="48" spans="1:10" ht="15">
      <c r="A48" s="53"/>
      <c r="B48" s="868"/>
      <c r="C48" s="53"/>
      <c r="D48" s="53"/>
      <c r="E48" s="53"/>
      <c r="F48" s="879" t="s">
        <v>270</v>
      </c>
      <c r="G48" s="53"/>
      <c r="H48" s="53"/>
      <c r="I48" s="53"/>
    </row>
    <row r="49" spans="1:10" ht="15">
      <c r="A49" s="53"/>
      <c r="B49" s="55"/>
      <c r="C49" s="53"/>
      <c r="D49" s="53"/>
      <c r="E49" s="53"/>
      <c r="F49" s="55"/>
      <c r="G49" s="53"/>
      <c r="H49" s="53"/>
      <c r="I49" s="53"/>
    </row>
    <row r="50" spans="1:10" ht="15">
      <c r="A50" s="53"/>
      <c r="B50" s="55"/>
      <c r="C50" s="53"/>
      <c r="D50" s="53"/>
      <c r="E50" s="53"/>
      <c r="F50" s="55"/>
      <c r="G50" s="53"/>
      <c r="H50" s="53"/>
      <c r="I50" s="53"/>
    </row>
    <row r="51" spans="1:10" ht="15">
      <c r="A51" s="53"/>
      <c r="B51" s="55"/>
      <c r="C51" s="53"/>
      <c r="D51" s="53"/>
      <c r="E51" s="53"/>
      <c r="F51" s="55"/>
      <c r="G51" s="53"/>
      <c r="H51" s="53"/>
      <c r="I51" s="53"/>
    </row>
    <row r="52" spans="1:10" ht="15">
      <c r="A52" s="53"/>
      <c r="B52" s="55"/>
      <c r="C52" s="53"/>
      <c r="D52" s="53"/>
      <c r="E52" s="53"/>
      <c r="F52" s="55"/>
      <c r="G52" s="53"/>
      <c r="H52" s="53"/>
      <c r="I52" s="53"/>
    </row>
    <row r="53" spans="1:10" ht="15.75">
      <c r="B53" s="867">
        <f>DATOS!E40</f>
        <v>0</v>
      </c>
      <c r="C53" s="876"/>
      <c r="D53" s="878"/>
      <c r="E53" s="876"/>
      <c r="G53" s="876"/>
      <c r="H53" s="876"/>
      <c r="I53" s="876"/>
    </row>
    <row r="54" spans="1:10" ht="15.6" customHeight="1">
      <c r="A54" s="901" t="s">
        <v>1149</v>
      </c>
      <c r="B54" s="880" t="s">
        <v>331</v>
      </c>
      <c r="C54" s="877"/>
      <c r="D54" s="878"/>
      <c r="E54" s="85"/>
      <c r="G54" s="85"/>
      <c r="H54" s="85"/>
      <c r="I54" s="85"/>
    </row>
    <row r="55" spans="1:10" ht="15">
      <c r="A55" s="901" t="s">
        <v>1150</v>
      </c>
      <c r="B55" s="55"/>
      <c r="C55" s="53"/>
      <c r="D55" s="878"/>
      <c r="E55" s="85"/>
      <c r="G55" s="85"/>
      <c r="H55" s="85"/>
      <c r="I55" s="85"/>
    </row>
    <row r="56" spans="1:10" ht="15">
      <c r="A56" s="901" t="s">
        <v>1151</v>
      </c>
      <c r="B56" s="53"/>
      <c r="C56" s="53"/>
      <c r="E56" s="53"/>
      <c r="F56" s="53"/>
      <c r="G56" s="53"/>
      <c r="H56" s="53"/>
      <c r="I56" s="53"/>
      <c r="J56" s="50"/>
    </row>
  </sheetData>
  <mergeCells count="52">
    <mergeCell ref="A33:I33"/>
    <mergeCell ref="A34:I34"/>
    <mergeCell ref="A28:I28"/>
    <mergeCell ref="A31:I31"/>
    <mergeCell ref="A29:I29"/>
    <mergeCell ref="A21:B21"/>
    <mergeCell ref="C21:I21"/>
    <mergeCell ref="A22:B22"/>
    <mergeCell ref="C22:I22"/>
    <mergeCell ref="A26:I26"/>
    <mergeCell ref="A24:I24"/>
    <mergeCell ref="A8:B8"/>
    <mergeCell ref="C8:I8"/>
    <mergeCell ref="A9:B9"/>
    <mergeCell ref="C9:I9"/>
    <mergeCell ref="A10:B10"/>
    <mergeCell ref="C10:I10"/>
    <mergeCell ref="A16:B16"/>
    <mergeCell ref="C16:I16"/>
    <mergeCell ref="A11:B11"/>
    <mergeCell ref="C11:I11"/>
    <mergeCell ref="A12:B12"/>
    <mergeCell ref="C12:I12"/>
    <mergeCell ref="A13:B13"/>
    <mergeCell ref="C13:I13"/>
    <mergeCell ref="A14:B14"/>
    <mergeCell ref="C14:I14"/>
    <mergeCell ref="A15:B15"/>
    <mergeCell ref="C15:I15"/>
    <mergeCell ref="H3:I3"/>
    <mergeCell ref="A6:B6"/>
    <mergeCell ref="E6:F6"/>
    <mergeCell ref="G6:H6"/>
    <mergeCell ref="A7:B7"/>
    <mergeCell ref="C7:I7"/>
    <mergeCell ref="A1:A3"/>
    <mergeCell ref="B1:E2"/>
    <mergeCell ref="F1:G1"/>
    <mergeCell ref="H1:I1"/>
    <mergeCell ref="F2:G2"/>
    <mergeCell ref="H2:I2"/>
    <mergeCell ref="B3:E3"/>
    <mergeCell ref="F3:G3"/>
    <mergeCell ref="A4:I4"/>
    <mergeCell ref="A17:B17"/>
    <mergeCell ref="C17:I17"/>
    <mergeCell ref="A18:B18"/>
    <mergeCell ref="C18:I18"/>
    <mergeCell ref="A20:B20"/>
    <mergeCell ref="C20:I20"/>
    <mergeCell ref="A19:B19"/>
    <mergeCell ref="C19:I19"/>
  </mergeCells>
  <conditionalFormatting sqref="C17:I17">
    <cfRule type="expression" dxfId="85" priority="5">
      <formula>$C$17&lt;=0</formula>
    </cfRule>
  </conditionalFormatting>
  <conditionalFormatting sqref="C18:I18">
    <cfRule type="expression" dxfId="84" priority="4">
      <formula>$C$18&lt;=0</formula>
    </cfRule>
  </conditionalFormatting>
  <conditionalFormatting sqref="C20:I20">
    <cfRule type="expression" dxfId="83" priority="3">
      <formula>$C$20&lt;=0</formula>
    </cfRule>
  </conditionalFormatting>
  <conditionalFormatting sqref="C22:I22">
    <cfRule type="expression" dxfId="82" priority="2">
      <formula>$C$22&lt;=0</formula>
    </cfRule>
  </conditionalFormatting>
  <conditionalFormatting sqref="C21:I21">
    <cfRule type="expression" dxfId="81" priority="1">
      <formula>$C$21&lt;=0</formula>
    </cfRule>
  </conditionalFormatting>
  <printOptions horizontalCentered="1"/>
  <pageMargins left="0.78740157480314965" right="0.39370078740157483" top="0.59055118110236227" bottom="1.2598425196850394" header="0.31496062992125984" footer="0.11811023622047245"/>
  <pageSetup scale="82" orientation="portrait" r:id="rId1"/>
  <headerFooter>
    <oddFooter xml:space="preserve">&amp;L&amp;G&amp;R
&amp;Nde&amp;N
&amp;G
</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L64"/>
  <sheetViews>
    <sheetView view="pageBreakPreview" zoomScale="90" zoomScaleNormal="100" zoomScaleSheetLayoutView="90" workbookViewId="0">
      <selection activeCell="R8" sqref="R8"/>
    </sheetView>
  </sheetViews>
  <sheetFormatPr baseColWidth="10" defaultColWidth="11.5703125" defaultRowHeight="14.25"/>
  <cols>
    <col min="1" max="1" width="24.5703125" style="42" customWidth="1"/>
    <col min="2" max="2" width="15.85546875" style="42" customWidth="1"/>
    <col min="3" max="3" width="41.42578125" style="42" bestFit="1" customWidth="1"/>
    <col min="4" max="4" width="4.7109375" style="42" bestFit="1" customWidth="1"/>
    <col min="5" max="5" width="2.28515625" style="42" customWidth="1"/>
    <col min="6" max="6" width="8.5703125" style="42" customWidth="1"/>
    <col min="7" max="7" width="6.28515625" style="42" customWidth="1"/>
    <col min="8" max="8" width="4.28515625" style="42" customWidth="1"/>
    <col min="9" max="9" width="9.42578125" style="42" customWidth="1"/>
    <col min="10" max="10" width="11.5703125" style="42" customWidth="1"/>
    <col min="11" max="11" width="0" style="42" hidden="1" customWidth="1"/>
    <col min="12" max="16384" width="11.5703125" style="42"/>
  </cols>
  <sheetData>
    <row r="1" spans="1:12" ht="24.6" customHeight="1">
      <c r="A1" s="972"/>
      <c r="B1" s="973" t="s">
        <v>295</v>
      </c>
      <c r="C1" s="973"/>
      <c r="D1" s="973"/>
      <c r="E1" s="973"/>
      <c r="F1" s="975" t="s">
        <v>90</v>
      </c>
      <c r="G1" s="975"/>
      <c r="H1" s="970" t="s">
        <v>1133</v>
      </c>
      <c r="I1" s="970"/>
      <c r="J1" s="41"/>
    </row>
    <row r="2" spans="1:12" ht="24.6" customHeight="1">
      <c r="A2" s="972"/>
      <c r="B2" s="973"/>
      <c r="C2" s="973"/>
      <c r="D2" s="973"/>
      <c r="E2" s="973"/>
      <c r="F2" s="975" t="s">
        <v>89</v>
      </c>
      <c r="G2" s="975"/>
      <c r="H2" s="970" t="s">
        <v>248</v>
      </c>
      <c r="I2" s="970"/>
      <c r="J2" s="41"/>
    </row>
    <row r="3" spans="1:12" ht="24.6" customHeight="1">
      <c r="A3" s="972"/>
      <c r="B3" s="970" t="s">
        <v>93</v>
      </c>
      <c r="C3" s="970"/>
      <c r="D3" s="970"/>
      <c r="E3" s="970"/>
      <c r="F3" s="1160" t="s">
        <v>88</v>
      </c>
      <c r="G3" s="1161"/>
      <c r="H3" s="971">
        <v>42705</v>
      </c>
      <c r="I3" s="970"/>
      <c r="J3" s="41"/>
    </row>
    <row r="4" spans="1:12" ht="34.9" customHeight="1">
      <c r="A4" s="1019" t="s">
        <v>277</v>
      </c>
      <c r="B4" s="1162"/>
      <c r="C4" s="1162"/>
      <c r="D4" s="1162"/>
      <c r="E4" s="1162"/>
      <c r="F4" s="1162"/>
      <c r="G4" s="1162"/>
      <c r="H4" s="1162"/>
      <c r="I4" s="1162"/>
      <c r="J4" s="41"/>
    </row>
    <row r="5" spans="1:12" ht="3" customHeight="1">
      <c r="A5" s="139"/>
      <c r="B5" s="138"/>
      <c r="C5" s="138"/>
      <c r="D5" s="138"/>
      <c r="E5" s="138"/>
      <c r="F5" s="138"/>
      <c r="G5" s="138"/>
      <c r="H5" s="138"/>
      <c r="I5" s="138"/>
      <c r="J5" s="41"/>
    </row>
    <row r="6" spans="1:12" ht="19.149999999999999" customHeight="1">
      <c r="A6" s="962" t="s">
        <v>1</v>
      </c>
      <c r="B6" s="962"/>
      <c r="C6" s="51">
        <f>DATOS!$E$10</f>
        <v>0</v>
      </c>
      <c r="D6" s="181" t="s">
        <v>92</v>
      </c>
      <c r="E6" s="974">
        <f>DATOS!E12</f>
        <v>0</v>
      </c>
      <c r="F6" s="974"/>
      <c r="G6" s="962" t="s">
        <v>86</v>
      </c>
      <c r="H6" s="962"/>
      <c r="I6" s="140">
        <f>DATOS!I12</f>
        <v>0</v>
      </c>
      <c r="J6" s="41"/>
    </row>
    <row r="7" spans="1:12" ht="19.149999999999999" customHeight="1">
      <c r="A7" s="962" t="s">
        <v>94</v>
      </c>
      <c r="B7" s="962"/>
      <c r="C7" s="963" t="s">
        <v>101</v>
      </c>
      <c r="D7" s="963"/>
      <c r="E7" s="963"/>
      <c r="F7" s="963"/>
      <c r="G7" s="963"/>
      <c r="H7" s="963"/>
      <c r="I7" s="963"/>
      <c r="J7" s="41"/>
    </row>
    <row r="8" spans="1:12" ht="19.149999999999999" customHeight="1">
      <c r="A8" s="962" t="s">
        <v>95</v>
      </c>
      <c r="B8" s="962"/>
      <c r="C8" s="963" t="s">
        <v>102</v>
      </c>
      <c r="D8" s="963"/>
      <c r="E8" s="963"/>
      <c r="F8" s="963"/>
      <c r="G8" s="963"/>
      <c r="H8" s="963"/>
      <c r="I8" s="963"/>
      <c r="J8" s="41"/>
    </row>
    <row r="9" spans="1:12" ht="19.149999999999999" customHeight="1">
      <c r="A9" s="962" t="str">
        <f>IF('REINIC 1'!C6="CONTRATO DE OBRA",("INTERVENTOR"),("SUPERVISOR"))</f>
        <v>SUPERVISOR</v>
      </c>
      <c r="B9" s="962"/>
      <c r="C9" s="963">
        <f>LOOKUP(A9,DATOS!C24:C30,DATOS!G24:G30)</f>
        <v>0</v>
      </c>
      <c r="D9" s="963"/>
      <c r="E9" s="963"/>
      <c r="F9" s="963"/>
      <c r="G9" s="963"/>
      <c r="H9" s="963"/>
      <c r="I9" s="963"/>
      <c r="K9" s="394" t="str">
        <f>LOOKUP(A9,DATOS!C24:C30,DATOS!M24:M30)</f>
        <v>la</v>
      </c>
    </row>
    <row r="10" spans="1:12" ht="19.149999999999999" customHeight="1">
      <c r="A10" s="962" t="s">
        <v>95</v>
      </c>
      <c r="B10" s="962"/>
      <c r="C10" s="963">
        <f>IF(A9=DATOS!C24,DATOS!E26,DATOS!E32)</f>
        <v>0</v>
      </c>
      <c r="D10" s="963"/>
      <c r="E10" s="963"/>
      <c r="F10" s="963"/>
      <c r="G10" s="963"/>
      <c r="H10" s="963"/>
      <c r="I10" s="963"/>
      <c r="K10" s="394"/>
    </row>
    <row r="11" spans="1:12" ht="19.149999999999999" customHeight="1">
      <c r="A11" s="962" t="s">
        <v>5</v>
      </c>
      <c r="B11" s="962"/>
      <c r="C11" s="963" t="str">
        <f>IF(DATOS!G28&gt;0,DATOS!G28,"N/A")</f>
        <v>N/A</v>
      </c>
      <c r="D11" s="963"/>
      <c r="E11" s="963"/>
      <c r="F11" s="963"/>
      <c r="G11" s="963"/>
      <c r="H11" s="963"/>
      <c r="I11" s="963"/>
      <c r="K11" s="394"/>
    </row>
    <row r="12" spans="1:12" ht="19.149999999999999" customHeight="1">
      <c r="A12" s="962" t="s">
        <v>107</v>
      </c>
      <c r="B12" s="962"/>
      <c r="C12" s="963">
        <f>DATOS!G16</f>
        <v>0</v>
      </c>
      <c r="D12" s="963"/>
      <c r="E12" s="963"/>
      <c r="F12" s="963"/>
      <c r="G12" s="963"/>
      <c r="H12" s="963"/>
      <c r="I12" s="963"/>
      <c r="K12" s="394" t="str">
        <f>DATOS!M16</f>
        <v>la</v>
      </c>
    </row>
    <row r="13" spans="1:12" ht="19.149999999999999" customHeight="1">
      <c r="A13" s="962" t="s">
        <v>95</v>
      </c>
      <c r="B13" s="962"/>
      <c r="C13" s="1163">
        <f>DATOS!E18</f>
        <v>0</v>
      </c>
      <c r="D13" s="963"/>
      <c r="E13" s="963"/>
      <c r="F13" s="963"/>
      <c r="G13" s="963"/>
      <c r="H13" s="963"/>
      <c r="I13" s="963"/>
      <c r="K13" s="394"/>
    </row>
    <row r="14" spans="1:12" ht="19.149999999999999" customHeight="1">
      <c r="A14" s="962" t="s">
        <v>5</v>
      </c>
      <c r="B14" s="962"/>
      <c r="C14" s="963" t="str">
        <f>IF(DATOS!G20&gt;0,DATOS!G20,"N/A")</f>
        <v>N/A</v>
      </c>
      <c r="D14" s="963"/>
      <c r="E14" s="963"/>
      <c r="F14" s="963"/>
      <c r="G14" s="963"/>
      <c r="H14" s="963"/>
      <c r="I14" s="963"/>
      <c r="K14" s="394" t="str">
        <f>DATOS!M20</f>
        <v>la</v>
      </c>
    </row>
    <row r="15" spans="1:12" ht="66.599999999999994" customHeight="1">
      <c r="A15" s="962" t="s">
        <v>8</v>
      </c>
      <c r="B15" s="962"/>
      <c r="C15" s="968">
        <f>DATOS!E38</f>
        <v>0</v>
      </c>
      <c r="D15" s="968"/>
      <c r="E15" s="968"/>
      <c r="F15" s="968"/>
      <c r="G15" s="968"/>
      <c r="H15" s="968"/>
      <c r="I15" s="968"/>
    </row>
    <row r="16" spans="1:12" ht="19.149999999999999" customHeight="1">
      <c r="A16" s="962" t="s">
        <v>12</v>
      </c>
      <c r="B16" s="962"/>
      <c r="C16" s="969">
        <f>DATOS!E46</f>
        <v>0</v>
      </c>
      <c r="D16" s="969"/>
      <c r="E16" s="969"/>
      <c r="F16" s="969"/>
      <c r="G16" s="969"/>
      <c r="H16" s="969"/>
      <c r="I16" s="969"/>
      <c r="L16" s="403" t="s">
        <v>394</v>
      </c>
    </row>
    <row r="17" spans="1:10" ht="19.149999999999999" customHeight="1">
      <c r="A17" s="1167" t="s">
        <v>391</v>
      </c>
      <c r="B17" s="1168"/>
      <c r="C17" s="1169">
        <f>IF(C18="","",DATOS!E174)</f>
        <v>42602</v>
      </c>
      <c r="D17" s="1170"/>
      <c r="E17" s="1170"/>
      <c r="F17" s="1170"/>
      <c r="G17" s="1170"/>
      <c r="H17" s="1170"/>
      <c r="I17" s="1171"/>
    </row>
    <row r="18" spans="1:10" ht="19.149999999999999" customHeight="1">
      <c r="A18" s="962" t="s">
        <v>278</v>
      </c>
      <c r="B18" s="962"/>
      <c r="C18" s="1172">
        <f>DATOS!E60</f>
        <v>30000000</v>
      </c>
      <c r="D18" s="1173"/>
      <c r="E18" s="1173"/>
      <c r="F18" s="1173"/>
      <c r="G18" s="1173"/>
      <c r="H18" s="1173"/>
      <c r="I18" s="1174"/>
    </row>
    <row r="19" spans="1:10" ht="19.149999999999999" customHeight="1">
      <c r="A19" s="1167" t="s">
        <v>392</v>
      </c>
      <c r="B19" s="1168"/>
      <c r="C19" s="1172">
        <f>IF(C20="","",DATOS!E176)</f>
        <v>0</v>
      </c>
      <c r="D19" s="1173"/>
      <c r="E19" s="1173"/>
      <c r="F19" s="1173"/>
      <c r="G19" s="1173"/>
      <c r="H19" s="1173"/>
      <c r="I19" s="1174"/>
    </row>
    <row r="20" spans="1:10" ht="19.149999999999999" customHeight="1">
      <c r="A20" s="962" t="s">
        <v>279</v>
      </c>
      <c r="B20" s="962"/>
      <c r="C20" s="1172">
        <f>DATOS!E62</f>
        <v>0</v>
      </c>
      <c r="D20" s="1173"/>
      <c r="E20" s="1173"/>
      <c r="F20" s="1173"/>
      <c r="G20" s="1173"/>
      <c r="H20" s="1173"/>
      <c r="I20" s="1174"/>
    </row>
    <row r="21" spans="1:10" ht="19.149999999999999" customHeight="1">
      <c r="A21" s="962" t="s">
        <v>11</v>
      </c>
      <c r="B21" s="962"/>
      <c r="C21" s="1175" t="str">
        <f>CONCATENATE(DATOS!E44,DATOS!F44,DATOS!G44)</f>
        <v xml:space="preserve"> </v>
      </c>
      <c r="D21" s="1176"/>
      <c r="E21" s="1176"/>
      <c r="F21" s="1176"/>
      <c r="G21" s="1176"/>
      <c r="H21" s="1176"/>
      <c r="I21" s="1177"/>
    </row>
    <row r="22" spans="1:10" ht="19.149999999999999" customHeight="1">
      <c r="A22" s="962" t="s">
        <v>388</v>
      </c>
      <c r="B22" s="962"/>
      <c r="C22" s="1169">
        <f>IF(C23="","",DATOS!E174)</f>
        <v>42602</v>
      </c>
      <c r="D22" s="1170"/>
      <c r="E22" s="1170"/>
      <c r="F22" s="1170"/>
      <c r="G22" s="1170"/>
      <c r="H22" s="1170"/>
      <c r="I22" s="1171"/>
    </row>
    <row r="23" spans="1:10" ht="19.149999999999999" customHeight="1">
      <c r="A23" s="962" t="s">
        <v>280</v>
      </c>
      <c r="B23" s="962"/>
      <c r="C23" s="1175" t="str">
        <f>IF(DATOS!E64&gt;0,CONCATENATE(DATOS!E64,DATOS!F64,DATOS!G64),0)</f>
        <v>5 MESES</v>
      </c>
      <c r="D23" s="1176"/>
      <c r="E23" s="1176"/>
      <c r="F23" s="1176"/>
      <c r="G23" s="1176"/>
      <c r="H23" s="1176"/>
      <c r="I23" s="1177"/>
    </row>
    <row r="24" spans="1:10" ht="19.149999999999999" customHeight="1">
      <c r="A24" s="1167" t="s">
        <v>389</v>
      </c>
      <c r="B24" s="1168"/>
      <c r="C24" s="1169">
        <f>IF(C20="","",DATOS!E176)</f>
        <v>0</v>
      </c>
      <c r="D24" s="1170"/>
      <c r="E24" s="1170"/>
      <c r="F24" s="1170"/>
      <c r="G24" s="1170"/>
      <c r="H24" s="1170"/>
      <c r="I24" s="1171"/>
    </row>
    <row r="25" spans="1:10" ht="19.149999999999999" customHeight="1">
      <c r="A25" s="962" t="s">
        <v>281</v>
      </c>
      <c r="B25" s="962"/>
      <c r="C25" s="1175">
        <f>IF(DATOS!E66&gt;0,CONCATENATE(DATOS!E66,DATOS!F66,DATOS!G66),0)</f>
        <v>0</v>
      </c>
      <c r="D25" s="1176"/>
      <c r="E25" s="1176"/>
      <c r="F25" s="1176"/>
      <c r="G25" s="1176"/>
      <c r="H25" s="1176"/>
      <c r="I25" s="1177"/>
    </row>
    <row r="26" spans="1:10" ht="19.149999999999999" customHeight="1">
      <c r="A26" s="1167" t="s">
        <v>390</v>
      </c>
      <c r="B26" s="1168"/>
      <c r="C26" s="1169">
        <f>IF(C27="","",DATOS!E178)</f>
        <v>0</v>
      </c>
      <c r="D26" s="1170"/>
      <c r="E26" s="1170"/>
      <c r="F26" s="1170"/>
      <c r="G26" s="1170"/>
      <c r="H26" s="1170"/>
      <c r="I26" s="1171"/>
    </row>
    <row r="27" spans="1:10" ht="19.149999999999999" customHeight="1">
      <c r="A27" s="962" t="s">
        <v>282</v>
      </c>
      <c r="B27" s="962"/>
      <c r="C27" s="1175">
        <f>IF(DATOS!E68&gt;0,CONCATENATE(DATOS!E68,DATOS!F68,DATOS!G68),0)</f>
        <v>0</v>
      </c>
      <c r="D27" s="1176"/>
      <c r="E27" s="1176"/>
      <c r="F27" s="1176"/>
      <c r="G27" s="1176"/>
      <c r="H27" s="1176"/>
      <c r="I27" s="1177"/>
    </row>
    <row r="28" spans="1:10" ht="27.6" customHeight="1">
      <c r="A28" s="53"/>
      <c r="B28" s="53"/>
      <c r="C28" s="53"/>
      <c r="D28" s="53"/>
      <c r="E28" s="53"/>
      <c r="F28" s="53"/>
      <c r="G28" s="53"/>
      <c r="H28" s="53"/>
      <c r="I28" s="53"/>
    </row>
    <row r="29" spans="1:10" ht="75" customHeight="1">
      <c r="A29" s="961" t="str">
        <f>IF(DATOS!E16="Persona Jurídica",IF(DATOS!E24="Persona Jurídica","En Popayán el día "&amp;IF((TEXT(DATOS!E74,"d"))="1",("Uno" &amp;" ("&amp;TEXT(DATOS!E74,"dd")&amp;") del mes de "&amp;TEXT(DATOS!E74,"mmmm")&amp;" de "&amp;TEXT(DATOS!E74,"yyyy")&amp;",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el reinicio del contrato en referencia."),LETRAS(TEXT(DATOS!E74,"d"))&amp;" ("&amp;TEXT(DATOS!E74,"dd")&amp;") del mes de "&amp;TEXT(DATOS!E74,"mmmm")&amp;" de "&amp;TEXT(DATOS!E74,"yyyy")&amp;",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el reinicio del contrato en referencia."),"En Popayán el día "&amp;IF((TEXT(DATOS!E74,"d"))="1",("Uno" &amp;" ("&amp;TEXT(DATOS!E74,"dd")&amp;") del mes de "&amp;TEXT(DATOS!E74,"mmmm")&amp;" de "&amp;TEXT(DATOS!E74,"yyyy")&amp;", se reunieron "&amp;DATOS!E40&amp;" en calidad de Gerente de Emcaservicios S.A. E.S.P.,"&amp;K9&amp;" "&amp;DATOS!E24&amp;" "&amp;C9&amp;", en calidad de "&amp;A9&amp;" del "&amp;DATOS!E10&amp;" No. "&amp;DATOS!E12&amp;" "&amp;DATOS!G12&amp;" "&amp;DATOS!I12&amp;", por una parte, y por la otra "&amp;K14&amp;" "&amp;DATOS!E20&amp;" "&amp;C14&amp;" Representante legal de "&amp;C12&amp;" en calidad de "&amp;A12&amp;", para acordar el reinicio del contrato en referencia."),LETRAS(TEXT(DATOS!E74,"d"))&amp;" ("&amp;TEXT(DATOS!E74,"dd")&amp;") del mes de "&amp;TEXT(DATOS!E74,"mmmm")&amp;" de "&amp;TEXT(DATOS!E74,"yyyy")&amp;", se reunieron "&amp;DATOS!E40&amp;" en calidad de Gerente de Emcaservicios S.A. E.S.P.,"&amp;K9&amp;" "&amp;DATOS!E24&amp;" "&amp;C9&amp;", en calidad de "&amp;A9&amp;" del "&amp;DATOS!E10&amp;" No. "&amp;DATOS!E12&amp;" "&amp;DATOS!G12&amp;" "&amp;DATOS!I12&amp;", por una parte, y por la otra "&amp;K14&amp;" "&amp;DATOS!E20&amp;" "&amp;C14&amp;" Representante legal de "&amp;C12&amp;" en calidad de "&amp;A12&amp;", para acordar el reinicio del contrato en referencia.")),IF(DATOS!E24="Persona Jurídica","En Popayán el día "&amp;IF((TEXT(DATOS!E74,"d"))="1",("Uno" &amp;" ("&amp;TEXT(DATOS!E74,"dd")&amp;") del mes de "&amp;TEXT(DATOS!E74,"mmmm")&amp;" de "&amp;TEXT(DATOS!E74,"yyyy")&amp;",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"&amp;K12&amp;" "&amp;DATOS!E16&amp;" "&amp;C12&amp;" en calidad de "&amp;A12&amp;", para acordar el reinicio del contrato en referencia."),LETRAS(TEXT(DATOS!E74,"d"))&amp;" ("&amp;TEXT(DATOS!E74,"dd")&amp;") del mes de "&amp;TEXT(DATOS!E74,"mmmm")&amp;" de "&amp;TEXT(DATOS!E74,"yyyy")&amp;",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"&amp;K12&amp;" "&amp;DATOS!E16&amp;" "&amp;C12&amp;" en calidad de "&amp;A12&amp;", para acordar el reinicio del contrato en referencia."),"En Popayán el día "&amp;IF((TEXT(DATOS!E74,"d"))="1",("Uno" &amp;" ("&amp;TEXT(DATOS!E74,"dd")&amp;") del mes de "&amp;TEXT(DATOS!E74,"mmmm")&amp;" de "&amp;TEXT(DATOS!E74,"yyyy")&amp;", se reunieron "&amp;DATOS!E40&amp;" en calidad de Gerente de Emcaservicios S.A. E.S.P.,"&amp;K9&amp;" "&amp;DATOS!E24&amp;" "&amp;C9&amp;", en calidad de "&amp;A9&amp;" del "&amp;DATOS!E10&amp;" No. "&amp;DATOS!E12&amp;" "&amp;DATOS!G12&amp;" "&amp;DATOS!I12&amp;", por una parte, y por la otra "&amp;K12&amp;" "&amp;DATOS!E16&amp;" "&amp;C12&amp;" en calidad de "&amp;A12&amp;", para acordar el reinicio del contrato en referencia."),LETRAS(TEXT(DATOS!E74,"d"))&amp;" ("&amp;TEXT(DATOS!E74,"dd")&amp;") del mes de "&amp;TEXT(DATOS!E74,"mmmm")&amp;" de "&amp;TEXT(DATOS!E74,"yyyy")&amp;", se reunieron "&amp;DATOS!E40&amp;" en calidad de Gerente de Emcaservicios S.A. E.S.P.,"&amp;K9&amp;" "&amp;DATOS!E24&amp;" "&amp;C9&amp;", en calidad de "&amp;A9&amp;" del "&amp;DATOS!E10&amp;" No. "&amp;DATOS!E12&amp;" "&amp;DATOS!G12&amp;" "&amp;DATOS!I12&amp;", por una parte, y por la otra "&amp;K12&amp;" "&amp;DATOS!E16&amp;" "&amp;C12&amp;" en calidad de "&amp;A12&amp;", para acordar el reinicio del contrato en referencia.")))</f>
        <v>En Popayán el día Treinta (30) del mes de March de 2016, se reunieron  en calidad de Gerente de Emcaservicios S.A. E.S.P.,la  0, en calidad de SUPERVISOR del  No.   , por una parte, y por la otra la  0 en calidad de CONTRATISTA, para acordar el reinicio del contrato en referencia.</v>
      </c>
      <c r="B29" s="961"/>
      <c r="C29" s="961"/>
      <c r="D29" s="961"/>
      <c r="E29" s="961"/>
      <c r="F29" s="961"/>
      <c r="G29" s="961"/>
      <c r="H29" s="961"/>
      <c r="I29" s="961"/>
      <c r="J29" s="50"/>
    </row>
    <row r="30" spans="1:10" ht="15">
      <c r="A30" s="180"/>
      <c r="B30" s="180"/>
      <c r="C30" s="180"/>
      <c r="D30" s="180"/>
      <c r="E30" s="180"/>
      <c r="F30" s="180"/>
      <c r="G30" s="180"/>
      <c r="H30" s="180"/>
      <c r="I30" s="180"/>
      <c r="J30" s="50"/>
    </row>
    <row r="31" spans="1:10" ht="15">
      <c r="A31" s="961" t="s">
        <v>336</v>
      </c>
      <c r="B31" s="961"/>
      <c r="C31" s="961"/>
      <c r="D31" s="961"/>
      <c r="E31" s="961"/>
      <c r="F31" s="961"/>
      <c r="G31" s="961"/>
      <c r="H31" s="961"/>
      <c r="I31" s="961"/>
      <c r="J31" s="50"/>
    </row>
    <row r="32" spans="1:10" ht="15">
      <c r="A32" s="180"/>
      <c r="B32" s="180"/>
      <c r="C32" s="180"/>
      <c r="D32" s="180"/>
      <c r="E32" s="180"/>
      <c r="F32" s="180"/>
      <c r="G32" s="180"/>
      <c r="H32" s="180"/>
      <c r="I32" s="180"/>
      <c r="J32" s="50"/>
    </row>
    <row r="33" spans="1:10" ht="27" customHeight="1">
      <c r="A33" s="1166" t="s">
        <v>335</v>
      </c>
      <c r="B33" s="961"/>
      <c r="C33" s="961"/>
      <c r="D33" s="961"/>
      <c r="E33" s="961"/>
      <c r="F33" s="961"/>
      <c r="G33" s="961"/>
      <c r="H33" s="961"/>
      <c r="I33" s="961"/>
      <c r="J33" s="50"/>
    </row>
    <row r="34" spans="1:10" ht="15">
      <c r="A34" s="180"/>
      <c r="B34" s="180"/>
      <c r="C34" s="180"/>
      <c r="D34" s="180"/>
      <c r="E34" s="180"/>
      <c r="F34" s="180"/>
      <c r="G34" s="180"/>
      <c r="H34" s="180"/>
      <c r="I34" s="180"/>
      <c r="J34" s="50"/>
    </row>
    <row r="35" spans="1:10" ht="15.75">
      <c r="A35" s="1165" t="s">
        <v>283</v>
      </c>
      <c r="B35" s="1165"/>
      <c r="C35" s="1165"/>
      <c r="D35" s="1165"/>
      <c r="E35" s="1165"/>
      <c r="F35" s="1165"/>
      <c r="G35" s="1165"/>
      <c r="H35" s="1165"/>
      <c r="I35" s="1165"/>
      <c r="J35" s="50"/>
    </row>
    <row r="36" spans="1:10" ht="15">
      <c r="A36" s="180"/>
      <c r="B36" s="180"/>
      <c r="C36" s="180"/>
      <c r="D36" s="180"/>
      <c r="E36" s="180"/>
      <c r="F36" s="180"/>
      <c r="G36" s="180"/>
      <c r="H36" s="180"/>
      <c r="I36" s="180"/>
      <c r="J36" s="50"/>
    </row>
    <row r="37" spans="1:10" ht="48.6" customHeight="1">
      <c r="A37" s="1178" t="s">
        <v>387</v>
      </c>
      <c r="B37" s="1178"/>
      <c r="C37" s="1178"/>
      <c r="D37" s="1178"/>
      <c r="E37" s="1178"/>
      <c r="F37" s="1178"/>
      <c r="G37" s="1178"/>
      <c r="H37" s="1178"/>
      <c r="I37" s="1178"/>
      <c r="J37" s="50"/>
    </row>
    <row r="38" spans="1:10" ht="15">
      <c r="A38" s="141"/>
      <c r="B38" s="141"/>
      <c r="C38" s="141"/>
      <c r="D38" s="141"/>
      <c r="E38" s="141"/>
      <c r="F38" s="141"/>
      <c r="G38" s="141"/>
      <c r="H38" s="141"/>
      <c r="I38" s="141"/>
      <c r="J38" s="50"/>
    </row>
    <row r="39" spans="1:10" ht="31.9" customHeight="1">
      <c r="A39" s="964" t="str">
        <f>"Para constancia de lo anterior, se firma en Popayán (Cauca) el día "&amp;IF((TEXT(DATOS!E74,"d"))="1",("Uno"&amp;" ("&amp;TEXT(DATOS!E74,"dd")&amp;") del mes de "&amp;TEXT(DATOS!E74,"mmmm")&amp;" de "&amp;LETRAS(TEXT(DATOS!E74,"YYYY"))&amp;" ("&amp;TEXT(DATOS!E74,"yyyy"))&amp;").",LETRAS(TEXT(DATOS!E74,"d"))&amp;" ("&amp;TEXT(DATOS!E74,"dd")&amp;") del mes de "&amp;TEXT(DATOS!E74,"mmmm")&amp;" de "&amp;LETRAS(TEXT(DATOS!E74,"YYYY"))&amp;" ("&amp;TEXT(DATOS!E74,"yyyy")&amp;").")</f>
        <v>Para constancia de lo anterior, se firma en Popayán (Cauca) el día Treinta (30) del mes de March de Dos Mil Dieciséis (2016).</v>
      </c>
      <c r="B39" s="964"/>
      <c r="C39" s="964"/>
      <c r="D39" s="964"/>
      <c r="E39" s="964"/>
      <c r="F39" s="964"/>
      <c r="G39" s="964"/>
      <c r="H39" s="964"/>
      <c r="I39" s="964"/>
    </row>
    <row r="40" spans="1:10" ht="15">
      <c r="A40" s="961"/>
      <c r="B40" s="961"/>
      <c r="C40" s="961"/>
      <c r="D40" s="961"/>
      <c r="E40" s="961"/>
      <c r="F40" s="961"/>
      <c r="G40" s="961"/>
      <c r="H40" s="961"/>
      <c r="I40" s="961"/>
      <c r="J40" s="50"/>
    </row>
    <row r="41" spans="1:10" ht="15">
      <c r="A41" s="53"/>
      <c r="B41" s="53"/>
      <c r="C41" s="53"/>
      <c r="D41" s="53"/>
      <c r="E41" s="53"/>
      <c r="F41" s="53"/>
      <c r="G41" s="53"/>
      <c r="H41" s="53"/>
      <c r="I41" s="53"/>
    </row>
    <row r="42" spans="1:10" ht="15">
      <c r="A42" s="53"/>
      <c r="B42" s="53"/>
      <c r="C42" s="53"/>
      <c r="D42" s="53"/>
      <c r="E42" s="53"/>
      <c r="F42" s="53"/>
      <c r="G42" s="53"/>
      <c r="H42" s="53"/>
      <c r="I42" s="53"/>
    </row>
    <row r="43" spans="1:10" ht="15">
      <c r="A43" s="53"/>
      <c r="B43" s="53"/>
      <c r="C43" s="53"/>
      <c r="D43" s="53"/>
      <c r="E43" s="53"/>
      <c r="F43" s="53"/>
      <c r="G43" s="53"/>
      <c r="H43" s="53"/>
      <c r="I43" s="53"/>
    </row>
    <row r="44" spans="1:10" ht="15">
      <c r="A44" s="53"/>
      <c r="B44" s="53"/>
      <c r="C44" s="53"/>
      <c r="D44" s="53"/>
      <c r="E44" s="53"/>
      <c r="F44" s="53"/>
      <c r="G44" s="53"/>
      <c r="H44" s="53"/>
      <c r="I44" s="53"/>
    </row>
    <row r="45" spans="1:10" ht="15.75">
      <c r="A45" s="53"/>
      <c r="B45" s="142">
        <f>IF(DATOS!E16="Persona Jurídica",DATOS!G20,DATOS!G16)</f>
        <v>0</v>
      </c>
      <c r="C45" s="53"/>
      <c r="D45" s="53"/>
      <c r="E45" s="53"/>
      <c r="F45" s="142">
        <f>IF(DATOS!E10="CONTRATO DE OBRA",IF(DATOS!E24="Persona Jurídica",DATOS!G28,DATOS!G24),DATOS!G30)</f>
        <v>0</v>
      </c>
      <c r="G45" s="53"/>
      <c r="H45" s="53"/>
      <c r="I45" s="53"/>
    </row>
    <row r="46" spans="1:10" ht="15">
      <c r="A46" s="53"/>
      <c r="B46" s="143" t="str">
        <f>IF(DATOS!E16="Persona Jurídica",DATOS!G16,"Contratista")</f>
        <v>Contratista</v>
      </c>
      <c r="C46" s="53"/>
      <c r="D46" s="53"/>
      <c r="E46" s="53"/>
      <c r="F46" s="143" t="str">
        <f>IF(DATOS!E24="Persona Jurídica",DATOS!G24,"Interventor")</f>
        <v>Interventor</v>
      </c>
      <c r="G46" s="53"/>
      <c r="H46" s="53"/>
      <c r="I46" s="53"/>
    </row>
    <row r="47" spans="1:10" ht="15">
      <c r="A47" s="53"/>
      <c r="B47" s="143" t="str">
        <f>IF(DATOS!E16="Persona jurídica","Contratista"," ")</f>
        <v xml:space="preserve"> </v>
      </c>
      <c r="C47" s="53"/>
      <c r="D47" s="53"/>
      <c r="E47" s="53"/>
      <c r="F47" s="143" t="str">
        <f>IF(DATOS!E24="Persona jurídica","Interventor"," ")</f>
        <v xml:space="preserve"> </v>
      </c>
      <c r="G47" s="53"/>
      <c r="H47" s="53"/>
      <c r="I47" s="53"/>
    </row>
    <row r="48" spans="1:10" ht="15">
      <c r="A48" s="53"/>
      <c r="B48" s="143"/>
      <c r="C48" s="53"/>
      <c r="D48" s="53"/>
      <c r="E48" s="53"/>
      <c r="F48" s="143"/>
      <c r="G48" s="53"/>
      <c r="H48" s="53"/>
      <c r="I48" s="53"/>
    </row>
    <row r="49" spans="1:10" ht="15">
      <c r="A49" s="53"/>
      <c r="B49" s="868"/>
      <c r="C49" s="53"/>
      <c r="D49" s="53"/>
      <c r="E49" s="53"/>
      <c r="F49" s="868"/>
      <c r="G49" s="53"/>
      <c r="H49" s="53"/>
      <c r="I49" s="53"/>
    </row>
    <row r="50" spans="1:10" ht="15">
      <c r="A50" s="53"/>
      <c r="B50" s="868"/>
      <c r="C50" s="53"/>
      <c r="D50" s="53"/>
      <c r="E50" s="53"/>
      <c r="F50" s="868"/>
      <c r="G50" s="53"/>
      <c r="H50" s="53"/>
      <c r="I50" s="53"/>
    </row>
    <row r="51" spans="1:10" ht="15">
      <c r="A51" s="53"/>
      <c r="B51" s="868"/>
      <c r="C51" s="53"/>
      <c r="D51" s="53"/>
      <c r="E51" s="53"/>
      <c r="F51" s="868"/>
      <c r="G51" s="53"/>
      <c r="H51" s="53"/>
      <c r="I51" s="53"/>
    </row>
    <row r="52" spans="1:10" ht="15">
      <c r="A52" s="53"/>
      <c r="B52" s="868"/>
      <c r="C52" s="53"/>
      <c r="D52" s="53"/>
      <c r="E52" s="53"/>
      <c r="F52" s="868"/>
      <c r="G52" s="53"/>
      <c r="H52" s="53"/>
      <c r="I52" s="53"/>
    </row>
    <row r="53" spans="1:10" ht="15.75">
      <c r="A53" s="53"/>
      <c r="B53" s="867">
        <f>DATOS!G30</f>
        <v>0</v>
      </c>
      <c r="C53" s="53"/>
      <c r="D53" s="53"/>
      <c r="E53" s="53"/>
      <c r="F53" s="867">
        <f>+DATOS!E42</f>
        <v>0</v>
      </c>
      <c r="G53" s="53"/>
      <c r="H53" s="53"/>
      <c r="I53" s="53"/>
    </row>
    <row r="54" spans="1:10" ht="15">
      <c r="A54" s="53"/>
      <c r="B54" s="868" t="s">
        <v>1143</v>
      </c>
      <c r="C54" s="53"/>
      <c r="D54" s="53"/>
      <c r="E54" s="53"/>
      <c r="F54" s="879" t="s">
        <v>330</v>
      </c>
      <c r="G54" s="53"/>
      <c r="H54" s="53"/>
      <c r="I54" s="53"/>
    </row>
    <row r="55" spans="1:10" ht="15">
      <c r="A55" s="53"/>
      <c r="B55" s="868"/>
      <c r="C55" s="53"/>
      <c r="D55" s="53"/>
      <c r="E55" s="53"/>
      <c r="F55" s="879" t="s">
        <v>270</v>
      </c>
      <c r="G55" s="53"/>
      <c r="H55" s="53"/>
      <c r="I55" s="53"/>
    </row>
    <row r="56" spans="1:10" ht="15">
      <c r="A56" s="53"/>
      <c r="B56" s="868"/>
      <c r="C56" s="53"/>
      <c r="D56" s="53"/>
      <c r="E56" s="53"/>
      <c r="F56" s="868"/>
      <c r="G56" s="53"/>
      <c r="H56" s="53"/>
      <c r="I56" s="53"/>
    </row>
    <row r="57" spans="1:10" ht="15">
      <c r="A57" s="53"/>
      <c r="B57" s="143"/>
      <c r="C57" s="53"/>
      <c r="D57" s="53"/>
      <c r="E57" s="53"/>
      <c r="F57" s="143"/>
      <c r="G57" s="53"/>
      <c r="H57" s="53"/>
      <c r="I57" s="53"/>
    </row>
    <row r="58" spans="1:10" ht="15">
      <c r="A58" s="53"/>
      <c r="B58" s="143"/>
      <c r="C58" s="53"/>
      <c r="D58" s="53"/>
      <c r="E58" s="53"/>
      <c r="F58" s="143"/>
      <c r="G58" s="53"/>
      <c r="H58" s="53"/>
      <c r="I58" s="53"/>
    </row>
    <row r="59" spans="1:10" ht="15">
      <c r="A59" s="53"/>
      <c r="B59" s="143"/>
      <c r="C59" s="53"/>
      <c r="D59" s="53"/>
      <c r="E59" s="53"/>
      <c r="F59" s="143"/>
      <c r="G59" s="53"/>
      <c r="H59" s="53"/>
      <c r="I59" s="53"/>
    </row>
    <row r="60" spans="1:10" ht="15">
      <c r="A60" s="53"/>
      <c r="B60" s="143"/>
      <c r="C60" s="53"/>
      <c r="D60" s="53"/>
      <c r="E60" s="53"/>
      <c r="F60" s="143"/>
      <c r="G60" s="53"/>
      <c r="H60" s="53"/>
      <c r="I60" s="53"/>
    </row>
    <row r="61" spans="1:10" ht="15.75">
      <c r="B61" s="867">
        <f>DATOS!E40</f>
        <v>0</v>
      </c>
      <c r="C61" s="876"/>
      <c r="D61" s="876"/>
      <c r="E61" s="876"/>
      <c r="G61" s="876"/>
      <c r="H61" s="876"/>
      <c r="I61" s="876"/>
    </row>
    <row r="62" spans="1:10" ht="15.6" customHeight="1">
      <c r="A62" s="901" t="s">
        <v>1149</v>
      </c>
      <c r="B62" s="881" t="s">
        <v>331</v>
      </c>
      <c r="C62" s="881"/>
      <c r="D62" s="881"/>
      <c r="E62" s="881"/>
      <c r="G62" s="881"/>
      <c r="H62" s="881"/>
      <c r="I62" s="881"/>
    </row>
    <row r="63" spans="1:10" ht="15">
      <c r="A63" s="901" t="s">
        <v>1150</v>
      </c>
      <c r="B63" s="143"/>
      <c r="C63" s="53"/>
      <c r="D63" s="53"/>
      <c r="E63" s="53"/>
      <c r="G63" s="53"/>
      <c r="H63" s="53"/>
      <c r="I63" s="53"/>
    </row>
    <row r="64" spans="1:10" ht="15">
      <c r="A64" s="901" t="s">
        <v>1151</v>
      </c>
      <c r="B64" s="53"/>
      <c r="C64" s="53"/>
      <c r="D64" s="53"/>
      <c r="E64" s="53"/>
      <c r="F64" s="53"/>
      <c r="G64" s="53"/>
      <c r="H64" s="53"/>
      <c r="I64" s="53"/>
      <c r="J64" s="50"/>
    </row>
  </sheetData>
  <mergeCells count="62">
    <mergeCell ref="A29:I29"/>
    <mergeCell ref="A35:I35"/>
    <mergeCell ref="A37:I37"/>
    <mergeCell ref="A39:I39"/>
    <mergeCell ref="A40:I40"/>
    <mergeCell ref="A31:I31"/>
    <mergeCell ref="A33:I33"/>
    <mergeCell ref="A23:B23"/>
    <mergeCell ref="C23:I23"/>
    <mergeCell ref="A25:B25"/>
    <mergeCell ref="C25:I25"/>
    <mergeCell ref="A27:B27"/>
    <mergeCell ref="C27:I27"/>
    <mergeCell ref="A14:B14"/>
    <mergeCell ref="C14:I14"/>
    <mergeCell ref="A15:B15"/>
    <mergeCell ref="C15:I15"/>
    <mergeCell ref="A16:B16"/>
    <mergeCell ref="C16:I16"/>
    <mergeCell ref="A11:B11"/>
    <mergeCell ref="C11:I11"/>
    <mergeCell ref="A12:B12"/>
    <mergeCell ref="C12:I12"/>
    <mergeCell ref="A13:B13"/>
    <mergeCell ref="C13:I13"/>
    <mergeCell ref="A8:B8"/>
    <mergeCell ref="C8:I8"/>
    <mergeCell ref="A9:B9"/>
    <mergeCell ref="C9:I9"/>
    <mergeCell ref="A10:B10"/>
    <mergeCell ref="C10:I10"/>
    <mergeCell ref="A4:I4"/>
    <mergeCell ref="A6:B6"/>
    <mergeCell ref="E6:F6"/>
    <mergeCell ref="G6:H6"/>
    <mergeCell ref="A7:B7"/>
    <mergeCell ref="C7:I7"/>
    <mergeCell ref="A1:A3"/>
    <mergeCell ref="B1:E2"/>
    <mergeCell ref="F1:G1"/>
    <mergeCell ref="H1:I1"/>
    <mergeCell ref="F2:G2"/>
    <mergeCell ref="H2:I2"/>
    <mergeCell ref="B3:E3"/>
    <mergeCell ref="F3:G3"/>
    <mergeCell ref="H3:I3"/>
    <mergeCell ref="A17:B17"/>
    <mergeCell ref="A22:B22"/>
    <mergeCell ref="A24:B24"/>
    <mergeCell ref="A26:B26"/>
    <mergeCell ref="C17:I17"/>
    <mergeCell ref="C19:I19"/>
    <mergeCell ref="C22:I22"/>
    <mergeCell ref="C24:I24"/>
    <mergeCell ref="C26:I26"/>
    <mergeCell ref="A18:B18"/>
    <mergeCell ref="C18:I18"/>
    <mergeCell ref="A20:B20"/>
    <mergeCell ref="C20:I20"/>
    <mergeCell ref="A21:B21"/>
    <mergeCell ref="C21:I21"/>
    <mergeCell ref="A19:B19"/>
  </mergeCells>
  <conditionalFormatting sqref="C18:I18">
    <cfRule type="expression" dxfId="80" priority="6">
      <formula>$C$18&lt;=0</formula>
    </cfRule>
  </conditionalFormatting>
  <conditionalFormatting sqref="C20:I20">
    <cfRule type="expression" dxfId="79" priority="5">
      <formula>$C$20&lt;=0</formula>
    </cfRule>
  </conditionalFormatting>
  <conditionalFormatting sqref="C23:I23">
    <cfRule type="expression" dxfId="78" priority="4">
      <formula>$C$23&lt;=0</formula>
    </cfRule>
  </conditionalFormatting>
  <conditionalFormatting sqref="C27:I27">
    <cfRule type="expression" dxfId="77" priority="3">
      <formula>$C$27&lt;=0</formula>
    </cfRule>
  </conditionalFormatting>
  <conditionalFormatting sqref="C25:I25">
    <cfRule type="expression" dxfId="76" priority="2">
      <formula>$C$25&lt;=0</formula>
    </cfRule>
  </conditionalFormatting>
  <conditionalFormatting sqref="C19:I19">
    <cfRule type="expression" dxfId="75" priority="1">
      <formula>$C$20&lt;=0</formula>
    </cfRule>
  </conditionalFormatting>
  <printOptions horizontalCentered="1"/>
  <pageMargins left="0.78740157480314965" right="0.39370078740157483" top="0.59055118110236227" bottom="1.3779527559055118" header="0.31496062992125984" footer="0.11811023622047245"/>
  <pageSetup scale="82" orientation="portrait" r:id="rId1"/>
  <headerFooter>
    <oddFooter>&amp;L&amp;G&amp;R&amp;"-,Cursiva"&amp;9Página &amp;P de &amp;N
&amp;G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2:J43"/>
  <sheetViews>
    <sheetView workbookViewId="0">
      <selection activeCell="D29" sqref="D29"/>
    </sheetView>
  </sheetViews>
  <sheetFormatPr baseColWidth="10" defaultColWidth="11.5703125" defaultRowHeight="16.5"/>
  <cols>
    <col min="1" max="1" width="8.7109375" style="13" customWidth="1"/>
    <col min="2" max="2" width="11.140625" style="13" customWidth="1"/>
    <col min="3" max="3" width="11.5703125" style="13"/>
    <col min="4" max="4" width="14.85546875" style="13" customWidth="1"/>
    <col min="5" max="5" width="23.5703125" style="13" customWidth="1"/>
    <col min="6" max="16384" width="11.5703125" style="13"/>
  </cols>
  <sheetData>
    <row r="2" spans="1:10">
      <c r="A2" s="10" t="s">
        <v>96</v>
      </c>
      <c r="D2" s="11" t="str">
        <f>IF(DATOS!E44=1,"DIA","DIAS")</f>
        <v>DIAS</v>
      </c>
      <c r="E2" s="11" t="str">
        <f>IF(DATOS!E64=1,"DIA","DIAS")</f>
        <v>DIAS</v>
      </c>
      <c r="F2" s="11" t="str">
        <f>IF(DATOS!E66=1,"DIA","DIAS")</f>
        <v>DIAS</v>
      </c>
      <c r="G2" s="11" t="str">
        <f>IF(DATOS!E68=1,"DIA","DIAS")</f>
        <v>DIAS</v>
      </c>
      <c r="H2" s="13" t="s">
        <v>104</v>
      </c>
      <c r="J2" s="10" t="s">
        <v>191</v>
      </c>
    </row>
    <row r="3" spans="1:10">
      <c r="A3" s="11" t="s">
        <v>97</v>
      </c>
      <c r="D3" s="11" t="str">
        <f>IF(DATOS!E44=1,"MES","MESES")</f>
        <v>MESES</v>
      </c>
      <c r="E3" s="11" t="str">
        <f>IF(DATOS!E64=1,"MES","MESES")</f>
        <v>MESES</v>
      </c>
      <c r="F3" s="11" t="str">
        <f>IF(DATOS!E66=1,"MES","MESES")</f>
        <v>MESES</v>
      </c>
      <c r="G3" s="11" t="str">
        <f>IF(DATOS!E68=1,"MES","MESES")</f>
        <v>MESES</v>
      </c>
      <c r="H3" s="13" t="s">
        <v>108</v>
      </c>
      <c r="J3" s="10" t="s">
        <v>192</v>
      </c>
    </row>
    <row r="4" spans="1:10">
      <c r="A4" s="11" t="s">
        <v>98</v>
      </c>
      <c r="H4" s="13" t="s">
        <v>109</v>
      </c>
      <c r="J4" s="10" t="s">
        <v>193</v>
      </c>
    </row>
    <row r="5" spans="1:10">
      <c r="A5" s="11" t="s">
        <v>99</v>
      </c>
      <c r="H5" s="13" t="s">
        <v>110</v>
      </c>
      <c r="J5" s="10" t="s">
        <v>194</v>
      </c>
    </row>
    <row r="6" spans="1:10">
      <c r="A6" s="10" t="s">
        <v>100</v>
      </c>
      <c r="H6" s="13" t="s">
        <v>111</v>
      </c>
      <c r="J6" s="10" t="s">
        <v>195</v>
      </c>
    </row>
    <row r="7" spans="1:10">
      <c r="A7" s="10" t="s">
        <v>430</v>
      </c>
      <c r="H7" s="13" t="s">
        <v>112</v>
      </c>
      <c r="J7" s="10" t="s">
        <v>196</v>
      </c>
    </row>
    <row r="8" spans="1:10">
      <c r="A8" s="10" t="s">
        <v>1144</v>
      </c>
      <c r="H8" s="13" t="s">
        <v>113</v>
      </c>
      <c r="J8" s="10" t="s">
        <v>197</v>
      </c>
    </row>
    <row r="9" spans="1:10">
      <c r="A9" s="10" t="s">
        <v>1145</v>
      </c>
      <c r="D9" s="13" t="s">
        <v>17</v>
      </c>
      <c r="E9" s="11" t="s">
        <v>19</v>
      </c>
      <c r="J9" s="10" t="s">
        <v>198</v>
      </c>
    </row>
    <row r="10" spans="1:10">
      <c r="D10" s="13" t="s">
        <v>18</v>
      </c>
      <c r="E10" s="11" t="s">
        <v>20</v>
      </c>
      <c r="J10" s="10" t="s">
        <v>199</v>
      </c>
    </row>
    <row r="11" spans="1:10">
      <c r="E11" s="10" t="s">
        <v>21</v>
      </c>
      <c r="J11" s="10" t="s">
        <v>200</v>
      </c>
    </row>
    <row r="12" spans="1:10">
      <c r="E12" s="11" t="s">
        <v>22</v>
      </c>
      <c r="J12" s="10" t="s">
        <v>201</v>
      </c>
    </row>
    <row r="13" spans="1:10">
      <c r="E13" s="11" t="s">
        <v>23</v>
      </c>
      <c r="J13" s="10" t="s">
        <v>202</v>
      </c>
    </row>
    <row r="14" spans="1:10">
      <c r="E14" s="10" t="s">
        <v>24</v>
      </c>
      <c r="J14" s="10" t="s">
        <v>203</v>
      </c>
    </row>
    <row r="15" spans="1:10">
      <c r="J15" s="10" t="s">
        <v>204</v>
      </c>
    </row>
    <row r="16" spans="1:10">
      <c r="J16" s="10" t="s">
        <v>205</v>
      </c>
    </row>
    <row r="17" spans="10:10">
      <c r="J17" s="10" t="s">
        <v>206</v>
      </c>
    </row>
    <row r="18" spans="10:10">
      <c r="J18" s="10" t="s">
        <v>207</v>
      </c>
    </row>
    <row r="19" spans="10:10">
      <c r="J19" s="10" t="s">
        <v>208</v>
      </c>
    </row>
    <row r="20" spans="10:10">
      <c r="J20" s="10" t="s">
        <v>209</v>
      </c>
    </row>
    <row r="21" spans="10:10">
      <c r="J21" s="10" t="s">
        <v>210</v>
      </c>
    </row>
    <row r="22" spans="10:10">
      <c r="J22" s="10" t="s">
        <v>211</v>
      </c>
    </row>
    <row r="23" spans="10:10">
      <c r="J23" s="10" t="s">
        <v>212</v>
      </c>
    </row>
    <row r="24" spans="10:10">
      <c r="J24" s="10" t="s">
        <v>213</v>
      </c>
    </row>
    <row r="25" spans="10:10">
      <c r="J25" s="10" t="s">
        <v>214</v>
      </c>
    </row>
    <row r="26" spans="10:10">
      <c r="J26" s="10" t="s">
        <v>215</v>
      </c>
    </row>
    <row r="27" spans="10:10">
      <c r="J27" s="10" t="s">
        <v>216</v>
      </c>
    </row>
    <row r="28" spans="10:10">
      <c r="J28" s="10" t="s">
        <v>217</v>
      </c>
    </row>
    <row r="29" spans="10:10">
      <c r="J29" s="10" t="s">
        <v>218</v>
      </c>
    </row>
    <row r="30" spans="10:10">
      <c r="J30" s="10" t="s">
        <v>219</v>
      </c>
    </row>
    <row r="31" spans="10:10">
      <c r="J31" s="10" t="s">
        <v>220</v>
      </c>
    </row>
    <row r="32" spans="10:10">
      <c r="J32" s="10" t="s">
        <v>221</v>
      </c>
    </row>
    <row r="33" spans="10:10">
      <c r="J33" s="10" t="s">
        <v>222</v>
      </c>
    </row>
    <row r="34" spans="10:10">
      <c r="J34" s="10" t="s">
        <v>223</v>
      </c>
    </row>
    <row r="35" spans="10:10">
      <c r="J35" s="10" t="s">
        <v>224</v>
      </c>
    </row>
    <row r="36" spans="10:10">
      <c r="J36" s="10" t="s">
        <v>225</v>
      </c>
    </row>
    <row r="37" spans="10:10">
      <c r="J37" s="10" t="s">
        <v>226</v>
      </c>
    </row>
    <row r="38" spans="10:10">
      <c r="J38" s="10" t="s">
        <v>227</v>
      </c>
    </row>
    <row r="39" spans="10:10">
      <c r="J39" s="10" t="s">
        <v>228</v>
      </c>
    </row>
    <row r="40" spans="10:10">
      <c r="J40" s="10" t="s">
        <v>229</v>
      </c>
    </row>
    <row r="41" spans="10:10">
      <c r="J41" s="10" t="s">
        <v>230</v>
      </c>
    </row>
    <row r="42" spans="10:10">
      <c r="J42" s="10" t="s">
        <v>231</v>
      </c>
    </row>
    <row r="43" spans="10:10">
      <c r="J43" s="10" t="s">
        <v>232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K56"/>
  <sheetViews>
    <sheetView view="pageBreakPreview" zoomScale="90" zoomScaleNormal="100" zoomScaleSheetLayoutView="90" workbookViewId="0">
      <selection activeCell="Q35" sqref="Q35"/>
    </sheetView>
  </sheetViews>
  <sheetFormatPr baseColWidth="10" defaultColWidth="11.5703125" defaultRowHeight="14.25"/>
  <cols>
    <col min="1" max="1" width="22.85546875" style="42" customWidth="1"/>
    <col min="2" max="2" width="8.7109375" style="42" customWidth="1"/>
    <col min="3" max="3" width="37.42578125" style="42" customWidth="1"/>
    <col min="4" max="4" width="7.28515625" style="42" customWidth="1"/>
    <col min="5" max="5" width="2.28515625" style="42" customWidth="1"/>
    <col min="6" max="6" width="8.5703125" style="42" customWidth="1"/>
    <col min="7" max="7" width="6.28515625" style="42" customWidth="1"/>
    <col min="8" max="8" width="4.28515625" style="42" customWidth="1"/>
    <col min="9" max="9" width="11.7109375" style="42" customWidth="1"/>
    <col min="10" max="10" width="11.5703125" style="42" customWidth="1"/>
    <col min="11" max="11" width="0" style="42" hidden="1" customWidth="1"/>
    <col min="12" max="16384" width="11.5703125" style="42"/>
  </cols>
  <sheetData>
    <row r="1" spans="1:11" ht="24.6" customHeight="1">
      <c r="A1" s="972"/>
      <c r="B1" s="973" t="s">
        <v>276</v>
      </c>
      <c r="C1" s="973"/>
      <c r="D1" s="973"/>
      <c r="E1" s="973"/>
      <c r="F1" s="975" t="s">
        <v>90</v>
      </c>
      <c r="G1" s="975"/>
      <c r="H1" s="970" t="s">
        <v>1132</v>
      </c>
      <c r="I1" s="970"/>
      <c r="J1" s="41"/>
    </row>
    <row r="2" spans="1:11" ht="24.6" customHeight="1">
      <c r="A2" s="972"/>
      <c r="B2" s="973"/>
      <c r="C2" s="973"/>
      <c r="D2" s="973"/>
      <c r="E2" s="973"/>
      <c r="F2" s="975" t="s">
        <v>89</v>
      </c>
      <c r="G2" s="975"/>
      <c r="H2" s="970" t="s">
        <v>248</v>
      </c>
      <c r="I2" s="970"/>
      <c r="J2" s="41"/>
    </row>
    <row r="3" spans="1:11" ht="24.6" customHeight="1">
      <c r="A3" s="972"/>
      <c r="B3" s="970" t="s">
        <v>93</v>
      </c>
      <c r="C3" s="970"/>
      <c r="D3" s="970"/>
      <c r="E3" s="970"/>
      <c r="F3" s="1160" t="s">
        <v>88</v>
      </c>
      <c r="G3" s="1161"/>
      <c r="H3" s="971">
        <v>42705</v>
      </c>
      <c r="I3" s="970"/>
      <c r="J3" s="41"/>
    </row>
    <row r="4" spans="1:11" ht="34.9" customHeight="1">
      <c r="A4" s="1019" t="s">
        <v>286</v>
      </c>
      <c r="B4" s="1162"/>
      <c r="C4" s="1162"/>
      <c r="D4" s="1162"/>
      <c r="E4" s="1162"/>
      <c r="F4" s="1162"/>
      <c r="G4" s="1162"/>
      <c r="H4" s="1162"/>
      <c r="I4" s="1162"/>
      <c r="J4" s="41"/>
    </row>
    <row r="5" spans="1:11" ht="3" customHeight="1">
      <c r="A5" s="400"/>
      <c r="B5" s="138"/>
      <c r="C5" s="138"/>
      <c r="D5" s="138"/>
      <c r="E5" s="138"/>
      <c r="F5" s="138"/>
      <c r="G5" s="138"/>
      <c r="H5" s="138"/>
      <c r="I5" s="138"/>
      <c r="J5" s="41"/>
    </row>
    <row r="6" spans="1:11" ht="19.149999999999999" customHeight="1">
      <c r="A6" s="962" t="s">
        <v>1</v>
      </c>
      <c r="B6" s="962"/>
      <c r="C6" s="51">
        <f>DATOS!$E$10</f>
        <v>0</v>
      </c>
      <c r="D6" s="181" t="s">
        <v>92</v>
      </c>
      <c r="E6" s="974">
        <f>DATOS!E12</f>
        <v>0</v>
      </c>
      <c r="F6" s="974"/>
      <c r="G6" s="962" t="s">
        <v>86</v>
      </c>
      <c r="H6" s="962"/>
      <c r="I6" s="398">
        <f>DATOS!I12</f>
        <v>0</v>
      </c>
      <c r="J6" s="41"/>
    </row>
    <row r="7" spans="1:11" ht="19.149999999999999" customHeight="1">
      <c r="A7" s="962" t="s">
        <v>94</v>
      </c>
      <c r="B7" s="962"/>
      <c r="C7" s="963" t="s">
        <v>101</v>
      </c>
      <c r="D7" s="963"/>
      <c r="E7" s="963"/>
      <c r="F7" s="963"/>
      <c r="G7" s="963"/>
      <c r="H7" s="963"/>
      <c r="I7" s="963"/>
      <c r="J7" s="41"/>
    </row>
    <row r="8" spans="1:11" ht="19.149999999999999" customHeight="1">
      <c r="A8" s="962" t="s">
        <v>95</v>
      </c>
      <c r="B8" s="962"/>
      <c r="C8" s="963" t="s">
        <v>102</v>
      </c>
      <c r="D8" s="963"/>
      <c r="E8" s="963"/>
      <c r="F8" s="963"/>
      <c r="G8" s="963"/>
      <c r="H8" s="963"/>
      <c r="I8" s="963"/>
      <c r="J8" s="41"/>
    </row>
    <row r="9" spans="1:11" ht="19.149999999999999" customHeight="1">
      <c r="A9" s="962" t="str">
        <f>IF('SUSP 2'!C6="CONTRATO DE OBRA",("INTERVENTOR"),("SUPERVISOR"))</f>
        <v>SUPERVISOR</v>
      </c>
      <c r="B9" s="962"/>
      <c r="C9" s="963">
        <f>LOOKUP(A9,DATOS!C24:C30,DATOS!G24:G30)</f>
        <v>0</v>
      </c>
      <c r="D9" s="963"/>
      <c r="E9" s="963"/>
      <c r="F9" s="963"/>
      <c r="G9" s="963"/>
      <c r="H9" s="963"/>
      <c r="I9" s="963"/>
      <c r="K9" s="393" t="str">
        <f>LOOKUP(A9,DATOS!C24:C30,DATOS!M24:M30)</f>
        <v>la</v>
      </c>
    </row>
    <row r="10" spans="1:11" ht="19.149999999999999" customHeight="1">
      <c r="A10" s="962" t="s">
        <v>95</v>
      </c>
      <c r="B10" s="962"/>
      <c r="C10" s="963">
        <f>IF(A9=DATOS!C24,DATOS!E26,DATOS!E32)</f>
        <v>0</v>
      </c>
      <c r="D10" s="963"/>
      <c r="E10" s="963"/>
      <c r="F10" s="963"/>
      <c r="G10" s="963"/>
      <c r="H10" s="963"/>
      <c r="I10" s="963"/>
      <c r="K10" s="393"/>
    </row>
    <row r="11" spans="1:11" ht="19.149999999999999" customHeight="1">
      <c r="A11" s="962" t="s">
        <v>5</v>
      </c>
      <c r="B11" s="962"/>
      <c r="C11" s="963" t="str">
        <f>IF(DATOS!G28&gt;0,DATOS!G28,"N/A")</f>
        <v>N/A</v>
      </c>
      <c r="D11" s="963"/>
      <c r="E11" s="963"/>
      <c r="F11" s="963"/>
      <c r="G11" s="963"/>
      <c r="H11" s="963"/>
      <c r="I11" s="963"/>
      <c r="K11" s="393"/>
    </row>
    <row r="12" spans="1:11" ht="19.149999999999999" customHeight="1">
      <c r="A12" s="962" t="s">
        <v>107</v>
      </c>
      <c r="B12" s="962"/>
      <c r="C12" s="963">
        <f>DATOS!G16</f>
        <v>0</v>
      </c>
      <c r="D12" s="963"/>
      <c r="E12" s="963"/>
      <c r="F12" s="963"/>
      <c r="G12" s="963"/>
      <c r="H12" s="963"/>
      <c r="I12" s="963"/>
      <c r="K12" s="393" t="str">
        <f>DATOS!M16</f>
        <v>la</v>
      </c>
    </row>
    <row r="13" spans="1:11" ht="19.149999999999999" customHeight="1">
      <c r="A13" s="962" t="s">
        <v>95</v>
      </c>
      <c r="B13" s="962"/>
      <c r="C13" s="1163">
        <f>DATOS!E18</f>
        <v>0</v>
      </c>
      <c r="D13" s="963"/>
      <c r="E13" s="963"/>
      <c r="F13" s="963"/>
      <c r="G13" s="963"/>
      <c r="H13" s="963"/>
      <c r="I13" s="963"/>
      <c r="K13" s="393"/>
    </row>
    <row r="14" spans="1:11" ht="19.149999999999999" customHeight="1">
      <c r="A14" s="962" t="s">
        <v>5</v>
      </c>
      <c r="B14" s="962"/>
      <c r="C14" s="963" t="str">
        <f>IF(DATOS!G20&gt;0,DATOS!G20,"N/A")</f>
        <v>N/A</v>
      </c>
      <c r="D14" s="963"/>
      <c r="E14" s="963"/>
      <c r="F14" s="963"/>
      <c r="G14" s="963"/>
      <c r="H14" s="963"/>
      <c r="I14" s="963"/>
      <c r="K14" s="393" t="str">
        <f>DATOS!M20</f>
        <v>la</v>
      </c>
    </row>
    <row r="15" spans="1:11" ht="66.599999999999994" customHeight="1">
      <c r="A15" s="1164" t="s">
        <v>8</v>
      </c>
      <c r="B15" s="1164"/>
      <c r="C15" s="968">
        <f>DATOS!E38</f>
        <v>0</v>
      </c>
      <c r="D15" s="968"/>
      <c r="E15" s="968"/>
      <c r="F15" s="968"/>
      <c r="G15" s="968"/>
      <c r="H15" s="968"/>
      <c r="I15" s="968"/>
    </row>
    <row r="16" spans="1:11" ht="19.149999999999999" customHeight="1">
      <c r="A16" s="962" t="s">
        <v>12</v>
      </c>
      <c r="B16" s="962"/>
      <c r="C16" s="969">
        <f>DATOS!E46</f>
        <v>0</v>
      </c>
      <c r="D16" s="969"/>
      <c r="E16" s="969"/>
      <c r="F16" s="969"/>
      <c r="G16" s="969"/>
      <c r="H16" s="969"/>
      <c r="I16" s="969"/>
    </row>
    <row r="17" spans="1:10" ht="19.149999999999999" customHeight="1">
      <c r="A17" s="962" t="s">
        <v>278</v>
      </c>
      <c r="B17" s="962"/>
      <c r="C17" s="969">
        <f>DATOS!E60</f>
        <v>30000000</v>
      </c>
      <c r="D17" s="969"/>
      <c r="E17" s="969"/>
      <c r="F17" s="969"/>
      <c r="G17" s="969"/>
      <c r="H17" s="969"/>
      <c r="I17" s="969"/>
    </row>
    <row r="18" spans="1:10" ht="19.149999999999999" customHeight="1">
      <c r="A18" s="962" t="s">
        <v>279</v>
      </c>
      <c r="B18" s="962"/>
      <c r="C18" s="969">
        <f>DATOS!E62</f>
        <v>0</v>
      </c>
      <c r="D18" s="969"/>
      <c r="E18" s="969"/>
      <c r="F18" s="969"/>
      <c r="G18" s="969"/>
      <c r="H18" s="969"/>
      <c r="I18" s="969"/>
    </row>
    <row r="19" spans="1:10" ht="19.149999999999999" customHeight="1">
      <c r="A19" s="962" t="s">
        <v>11</v>
      </c>
      <c r="B19" s="962"/>
      <c r="C19" s="963" t="str">
        <f>CONCATENATE(DATOS!E44,DATOS!F44,DATOS!G44)</f>
        <v xml:space="preserve"> </v>
      </c>
      <c r="D19" s="963"/>
      <c r="E19" s="963"/>
      <c r="F19" s="963"/>
      <c r="G19" s="963"/>
      <c r="H19" s="963"/>
      <c r="I19" s="963"/>
    </row>
    <row r="20" spans="1:10" ht="19.149999999999999" customHeight="1">
      <c r="A20" s="962" t="s">
        <v>280</v>
      </c>
      <c r="B20" s="962"/>
      <c r="C20" s="963" t="str">
        <f>IF(DATOS!E64&gt;0,CONCATENATE(DATOS!E64,DATOS!F64,DATOS!G64),0)</f>
        <v>5 MESES</v>
      </c>
      <c r="D20" s="963"/>
      <c r="E20" s="963"/>
      <c r="F20" s="963"/>
      <c r="G20" s="963"/>
      <c r="H20" s="963"/>
      <c r="I20" s="963"/>
    </row>
    <row r="21" spans="1:10" ht="19.149999999999999" customHeight="1">
      <c r="A21" s="962" t="s">
        <v>281</v>
      </c>
      <c r="B21" s="962"/>
      <c r="C21" s="963">
        <f>IF(DATOS!E66&gt;0,CONCATENATE(DATOS!E66,DATOS!F66,DATOS!G66),0)</f>
        <v>0</v>
      </c>
      <c r="D21" s="963"/>
      <c r="E21" s="963"/>
      <c r="F21" s="963"/>
      <c r="G21" s="963"/>
      <c r="H21" s="963"/>
      <c r="I21" s="963"/>
    </row>
    <row r="22" spans="1:10" ht="19.149999999999999" customHeight="1">
      <c r="A22" s="962" t="s">
        <v>282</v>
      </c>
      <c r="B22" s="962"/>
      <c r="C22" s="963">
        <f>IF(DATOS!E68&gt;0,CONCATENATE(DATOS!E68,DATOS!F68,DATOS!G68),0)</f>
        <v>0</v>
      </c>
      <c r="D22" s="963"/>
      <c r="E22" s="963"/>
      <c r="F22" s="963"/>
      <c r="G22" s="963"/>
      <c r="H22" s="963"/>
      <c r="I22" s="963"/>
    </row>
    <row r="23" spans="1:10" ht="27.6" customHeight="1">
      <c r="A23" s="53"/>
      <c r="B23" s="53"/>
      <c r="C23" s="53"/>
      <c r="D23" s="53"/>
      <c r="E23" s="53"/>
      <c r="F23" s="53"/>
      <c r="G23" s="53"/>
      <c r="H23" s="53"/>
      <c r="I23" s="53"/>
    </row>
    <row r="24" spans="1:10" ht="91.15" customHeight="1">
      <c r="A24" s="961" t="str">
        <f>IF(DATOS!E16="Persona Jurídica",IF(DATOS!E24="Persona Jurídica","En Popayán el día "&amp;IF((TEXT(DATOS!E78,"d"))="1",("Uno" &amp;" ("&amp;TEXT(DATOS!E78,"dd")&amp;") del mes de "&amp;TEXT(DATOS!E78,"mmmm")&amp;" de "&amp;TEXT(DATOS!E78,"yyyy")&amp;",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referencia."),LETRAS(TEXT(DATOS!E78,"d"))&amp;" ("&amp;TEXT(DATOS!E72,"dd")&amp;") del mes de "&amp;TEXT(DATOS!E78,"mmmm")&amp;" de "&amp;TEXT(DATOS!E78,"yyyy")&amp;",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referencia."),"En Popayán el día "&amp;IF((TEXT(DATOS!E78,"d"))="1",("Uno" &amp;" ("&amp;TEXT(DATOS!E78,"dd")&amp;") del mes de "&amp;TEXT(DATOS!E78,"mmmm")&amp;" de "&amp;TEXT(DATOS!E78,"yyyy")&amp;", se reunieron "&amp;DATOS!E40&amp;" en calidad de Gerente de Emcaservicios S.A. E.S.P.,"&amp;K9&amp;"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referencia."),LETRAS(TEXT(DATOS!E78,"d"))&amp;" ("&amp;TEXT(DATOS!E78,"dd")&amp;") del mes de "&amp;TEXT(DATOS!E78,"mmmm")&amp;" de "&amp;TEXT(DATOS!E78,"yyyy")&amp;", se reunieron "&amp;DATOS!E40&amp;" en calidad de Gerente de Emcaservicios S.A. E.S.P.,"&amp;K9&amp;"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referencia.")),IF(DATOS!E24="Persona Jurídica","En Popayán el día "&amp;IF((TEXT(DATOS!E78,"d"))="1",("Uno" &amp;" ("&amp;TEXT(DATOS!E78,"dd")&amp;") del mes de "&amp;TEXT(DATOS!E78,"mmmm")&amp;" de "&amp;TEXT(DATOS!E72,"yyyy")&amp;",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referencia."),LETRAS(TEXT(DATOS!E78,"d"))&amp;" ("&amp;TEXT(DATOS!E78,"dd")&amp;") del mes de "&amp;TEXT(DATOS!E78,"mmmm")&amp;" de "&amp;TEXT(DATOS!E78,"yyyy")&amp;",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referencia."),"En Popayán el día "&amp;IF((TEXT(DATOS!E78,"d"))="1",("Uno" &amp;" ("&amp;TEXT(DATOS!E78,"dd")&amp;") del mes de "&amp;TEXT(DATOS!E78,"mmmm")&amp;" de "&amp;TEXT(DATOS!E78,"yyyy")&amp;", se reunieron "&amp;DATOS!E40&amp;" en calidad de Gerente de Emcaservicios S.A. E.S.P.,"&amp;K9&amp;" "&amp;DATOS!E24&amp;" "&amp;C9&amp;", en calidad de "&amp;A9&amp;" del "&amp;DATOS!E10&amp;" No. "&amp;DATOS!E12&amp;" "&amp;DATOS!G12&amp;" "&amp;DATOS!I12&amp;", por una parte, y por la otra "&amp;K12&amp;" "&amp;DATOS!E16&amp;" "&amp;C12&amp;" en calidad de "&amp;A12&amp;", para acordar la suspensión del contrato en referencia."),LETRAS(TEXT(DATOS!E78,"d"))&amp;" ("&amp;TEXT(DATOS!E78,"dd")&amp;") del mes de "&amp;TEXT(DATOS!E78,"mmmm")&amp;" de "&amp;TEXT(DATOS!E72,"yyyy")&amp;", se reunieron "&amp;DATOS!E40&amp;" en calidad de Gerente de Emcaservicios S.A. E.S.P.,"&amp;K9&amp;" "&amp;DATOS!E24&amp;" "&amp;C9&amp;", en calidad de "&amp;A9&amp;" del "&amp;DATOS!E10&amp;" No. "&amp;DATOS!E12&amp;" "&amp;DATOS!G12&amp;" "&amp;DATOS!I12&amp;", por una parte, y por la otra "&amp;K12&amp;" "&amp;DATOS!E16&amp;" "&amp;C12&amp;" en calidad de "&amp;A12&amp;", para acordar la suspensión del contrato en referencia.")))</f>
        <v>En Popayán el día Uno (01) del mes de May de 2016, se reunieron  en calidad de Gerente de Emcaservicios S.A. E.S.P.,la  0, en calidad de SUPERVISOR del  No.   , por una parte, y por la otra la  0 en calidad de CONTRATISTA, para acordar la suspensión del contrato en referencia.</v>
      </c>
      <c r="B24" s="961"/>
      <c r="C24" s="961"/>
      <c r="D24" s="961"/>
      <c r="E24" s="961"/>
      <c r="F24" s="961"/>
      <c r="G24" s="961"/>
      <c r="H24" s="961"/>
      <c r="I24" s="961"/>
      <c r="J24" s="50"/>
    </row>
    <row r="25" spans="1:10" ht="15">
      <c r="A25" s="399"/>
      <c r="B25" s="399"/>
      <c r="C25" s="399"/>
      <c r="D25" s="399"/>
      <c r="E25" s="399"/>
      <c r="F25" s="399"/>
      <c r="G25" s="399"/>
      <c r="H25" s="399"/>
      <c r="I25" s="399"/>
      <c r="J25" s="50"/>
    </row>
    <row r="26" spans="1:10" ht="15.75">
      <c r="A26" s="1165" t="s">
        <v>283</v>
      </c>
      <c r="B26" s="1165"/>
      <c r="C26" s="1165"/>
      <c r="D26" s="1165"/>
      <c r="E26" s="1165"/>
      <c r="F26" s="1165"/>
      <c r="G26" s="1165"/>
      <c r="H26" s="1165"/>
      <c r="I26" s="1165"/>
      <c r="J26" s="50"/>
    </row>
    <row r="27" spans="1:10" ht="15">
      <c r="A27" s="399"/>
      <c r="B27" s="399"/>
      <c r="C27" s="399"/>
      <c r="D27" s="399"/>
      <c r="E27" s="399"/>
      <c r="F27" s="399"/>
      <c r="G27" s="399"/>
      <c r="H27" s="399"/>
      <c r="I27" s="399"/>
      <c r="J27" s="50"/>
    </row>
    <row r="28" spans="1:10" ht="15">
      <c r="A28" s="961" t="str">
        <f>"PRIMERO. - De común acuerdo suspender temporalmente por "&amp;LETRAS(DATOS!I76)&amp;" ("&amp;DATOS!I76&amp;") días el "&amp;DATOS!E10&amp;" No. "&amp;DATOS!E12&amp;" "&amp;DATOS!G12&amp;" "&amp;DATOS!I12&amp;", cuyo objeto es "&amp;DATOS!E38&amp;", teniendo en cuenta las siguientes consideraciones que han impedido la ejecución del mencionado contrato:"</f>
        <v>PRIMERO. - De común acuerdo suspender temporalmente por Treinta y Un (31) días el  No.   , cuyo objeto es , teniendo en cuenta las siguientes consideraciones que han impedido la ejecución del mencionado contrato:</v>
      </c>
      <c r="B28" s="961"/>
      <c r="C28" s="961"/>
      <c r="D28" s="961"/>
      <c r="E28" s="961"/>
      <c r="F28" s="961"/>
      <c r="G28" s="961"/>
      <c r="H28" s="961"/>
      <c r="I28" s="961"/>
      <c r="J28" s="50"/>
    </row>
    <row r="29" spans="1:10" ht="15">
      <c r="A29" s="1166" t="s">
        <v>384</v>
      </c>
      <c r="B29" s="961"/>
      <c r="C29" s="961"/>
      <c r="D29" s="961"/>
      <c r="E29" s="961"/>
      <c r="F29" s="961"/>
      <c r="G29" s="961"/>
      <c r="H29" s="961"/>
      <c r="I29" s="961"/>
      <c r="J29" s="50"/>
    </row>
    <row r="30" spans="1:10" ht="15">
      <c r="A30" s="399"/>
      <c r="B30" s="399"/>
      <c r="C30" s="399"/>
      <c r="D30" s="399"/>
      <c r="E30" s="399"/>
      <c r="F30" s="399"/>
      <c r="G30" s="399"/>
      <c r="H30" s="399"/>
      <c r="I30" s="399"/>
      <c r="J30" s="50"/>
    </row>
    <row r="31" spans="1:10" ht="107.45" customHeight="1">
      <c r="A31" s="961" t="s">
        <v>385</v>
      </c>
      <c r="B31" s="961"/>
      <c r="C31" s="961"/>
      <c r="D31" s="961"/>
      <c r="E31" s="961"/>
      <c r="F31" s="961"/>
      <c r="G31" s="961"/>
      <c r="H31" s="961"/>
      <c r="I31" s="961"/>
      <c r="J31" s="50"/>
    </row>
    <row r="32" spans="1:10" ht="15">
      <c r="A32" s="53"/>
      <c r="B32" s="53"/>
      <c r="C32" s="53"/>
      <c r="D32" s="53"/>
      <c r="E32" s="53"/>
      <c r="F32" s="53"/>
      <c r="G32" s="53"/>
      <c r="H32" s="53"/>
      <c r="I32" s="53"/>
    </row>
    <row r="33" spans="1:10" ht="31.9" customHeight="1">
      <c r="A33" s="964" t="str">
        <f>"Para constancia de lo anterior, se firma en Popayán (Cauca) el día "&amp;IF((TEXT(DATOS!E72,"d"))="1",("Uno"&amp;" ("&amp;TEXT(DATOS!E72,"dd")&amp;") del mes de "&amp;TEXT(DATOS!E72,"mmmm")&amp;" de "&amp;LETRAS(TEXT(DATOS!E72,"YYYY"))&amp;" ("&amp;TEXT(DATOS!E72,"yyyy"))&amp;").",LETRAS(TEXT(DATOS!E72,"d"))&amp;" ("&amp;TEXT(DATOS!E72,"dd")&amp;") del mes de "&amp;TEXT(DATOS!E72,"mmmm")&amp;" de "&amp;LETRAS(TEXT(DATOS!E72,"YYYY"))&amp;" ("&amp;TEXT(DATOS!E72,"yyyy")&amp;").")</f>
        <v>Para constancia de lo anterior, se firma en Popayán (Cauca) el día Veintiocho (28) del mes de February de Dos Mil Dieciséis (2016).</v>
      </c>
      <c r="B33" s="964"/>
      <c r="C33" s="964"/>
      <c r="D33" s="964"/>
      <c r="E33" s="964"/>
      <c r="F33" s="964"/>
      <c r="G33" s="964"/>
      <c r="H33" s="964"/>
      <c r="I33" s="964"/>
    </row>
    <row r="34" spans="1:10" ht="15">
      <c r="A34" s="961"/>
      <c r="B34" s="961"/>
      <c r="C34" s="961"/>
      <c r="D34" s="961"/>
      <c r="E34" s="961"/>
      <c r="F34" s="961"/>
      <c r="G34" s="961"/>
      <c r="H34" s="961"/>
      <c r="I34" s="961"/>
      <c r="J34" s="50"/>
    </row>
    <row r="35" spans="1:10" ht="15">
      <c r="A35" s="53"/>
      <c r="B35" s="53"/>
      <c r="C35" s="53"/>
      <c r="D35" s="53"/>
      <c r="E35" s="53"/>
      <c r="F35" s="53"/>
      <c r="G35" s="53"/>
      <c r="H35" s="53"/>
      <c r="I35" s="53"/>
    </row>
    <row r="36" spans="1:10" ht="15">
      <c r="A36" s="53"/>
      <c r="B36" s="53"/>
      <c r="C36" s="53"/>
      <c r="D36" s="53"/>
      <c r="E36" s="53"/>
      <c r="F36" s="53"/>
      <c r="G36" s="53"/>
      <c r="H36" s="53"/>
      <c r="I36" s="53"/>
    </row>
    <row r="37" spans="1:10" ht="15">
      <c r="A37" s="53"/>
      <c r="B37" s="53"/>
      <c r="C37" s="53"/>
      <c r="D37" s="53"/>
      <c r="E37" s="53"/>
      <c r="F37" s="53"/>
      <c r="G37" s="53"/>
      <c r="H37" s="53"/>
      <c r="I37" s="53"/>
    </row>
    <row r="38" spans="1:10" ht="15">
      <c r="A38" s="53"/>
      <c r="B38" s="53"/>
      <c r="C38" s="53"/>
      <c r="D38" s="53"/>
      <c r="E38" s="53"/>
      <c r="F38" s="53"/>
      <c r="G38" s="53"/>
      <c r="H38" s="53"/>
      <c r="I38" s="53"/>
    </row>
    <row r="39" spans="1:10" ht="15.75">
      <c r="A39" s="53"/>
      <c r="B39" s="867">
        <f>IF(DATOS!E16="Persona Jurídica",DATOS!G20,DATOS!G16)</f>
        <v>0</v>
      </c>
      <c r="C39" s="53"/>
      <c r="D39" s="53"/>
      <c r="E39" s="53"/>
      <c r="F39" s="867">
        <f>IF(DATOS!E10="CONTRATO DE OBRA",IF(DATOS!E24="Persona Jurídica",DATOS!G28,DATOS!G24),DATOS!G30)</f>
        <v>0</v>
      </c>
      <c r="G39" s="53"/>
      <c r="H39" s="53"/>
      <c r="I39" s="53"/>
    </row>
    <row r="40" spans="1:10" ht="15">
      <c r="A40" s="53"/>
      <c r="B40" s="868" t="str">
        <f>IF(DATOS!E16="Persona Jurídica",DATOS!G16,"Contratista")</f>
        <v>Contratista</v>
      </c>
      <c r="C40" s="53"/>
      <c r="D40" s="53"/>
      <c r="E40" s="53"/>
      <c r="F40" s="868" t="str">
        <f>IF(DATOS!E24="Persona Jurídica",DATOS!G24,"Interventor")</f>
        <v>Interventor</v>
      </c>
      <c r="G40" s="53"/>
      <c r="H40" s="53"/>
      <c r="I40" s="53"/>
    </row>
    <row r="41" spans="1:10" ht="15">
      <c r="A41" s="53"/>
      <c r="B41" s="868" t="str">
        <f>IF(DATOS!E16="Persona jurídica","Contratista"," ")</f>
        <v xml:space="preserve"> </v>
      </c>
      <c r="C41" s="53"/>
      <c r="D41" s="53"/>
      <c r="E41" s="53"/>
      <c r="F41" s="868" t="str">
        <f>IF(DATOS!E24="Persona jurídica","Interventor"," ")</f>
        <v xml:space="preserve"> </v>
      </c>
      <c r="G41" s="53"/>
      <c r="H41" s="53"/>
      <c r="I41" s="53"/>
    </row>
    <row r="42" spans="1:10" ht="15">
      <c r="A42" s="53"/>
      <c r="B42" s="868"/>
      <c r="C42" s="53"/>
      <c r="D42" s="53"/>
      <c r="E42" s="53"/>
      <c r="F42" s="868"/>
      <c r="G42" s="53"/>
      <c r="H42" s="53"/>
      <c r="I42" s="53"/>
    </row>
    <row r="43" spans="1:10" ht="15">
      <c r="A43" s="53"/>
      <c r="B43" s="868"/>
      <c r="C43" s="53"/>
      <c r="D43" s="53"/>
      <c r="E43" s="53"/>
      <c r="F43" s="868"/>
      <c r="G43" s="53"/>
      <c r="H43" s="53"/>
      <c r="I43" s="53"/>
    </row>
    <row r="44" spans="1:10" ht="15">
      <c r="A44" s="53"/>
      <c r="B44" s="868"/>
      <c r="C44" s="53"/>
      <c r="D44" s="53"/>
      <c r="E44" s="53"/>
      <c r="F44" s="868"/>
      <c r="G44" s="53"/>
      <c r="H44" s="53"/>
      <c r="I44" s="53"/>
    </row>
    <row r="45" spans="1:10" ht="15">
      <c r="A45" s="53"/>
      <c r="B45" s="868"/>
      <c r="C45" s="53"/>
      <c r="D45" s="53"/>
      <c r="E45" s="53"/>
      <c r="F45" s="868"/>
      <c r="G45" s="53"/>
      <c r="H45" s="53"/>
      <c r="I45" s="53"/>
    </row>
    <row r="46" spans="1:10" ht="15.75">
      <c r="B46" s="867">
        <f>DATOS!G30</f>
        <v>0</v>
      </c>
      <c r="C46" s="53"/>
      <c r="D46" s="53"/>
      <c r="E46" s="53"/>
      <c r="F46" s="867">
        <f>+DATOS!E42</f>
        <v>0</v>
      </c>
      <c r="G46" s="53"/>
      <c r="H46" s="53"/>
      <c r="I46" s="53"/>
    </row>
    <row r="47" spans="1:10" ht="15">
      <c r="B47" s="868" t="s">
        <v>1143</v>
      </c>
      <c r="C47" s="53"/>
      <c r="D47" s="53"/>
      <c r="E47" s="53"/>
      <c r="F47" s="879" t="s">
        <v>330</v>
      </c>
      <c r="G47" s="53"/>
      <c r="H47" s="53"/>
      <c r="I47" s="53"/>
    </row>
    <row r="48" spans="1:10" ht="15.6" customHeight="1">
      <c r="A48" s="53"/>
      <c r="B48" s="868"/>
      <c r="C48" s="53"/>
      <c r="D48" s="53"/>
      <c r="E48" s="53"/>
      <c r="F48" s="879" t="s">
        <v>270</v>
      </c>
      <c r="G48" s="53"/>
      <c r="H48" s="53"/>
      <c r="I48" s="53"/>
    </row>
    <row r="49" spans="1:10" ht="15">
      <c r="A49" s="53"/>
      <c r="B49" s="868"/>
      <c r="C49" s="53"/>
      <c r="D49" s="53"/>
      <c r="E49" s="53"/>
      <c r="F49" s="868"/>
      <c r="G49" s="53"/>
      <c r="H49" s="53"/>
      <c r="I49" s="53"/>
    </row>
    <row r="50" spans="1:10" ht="15">
      <c r="A50" s="53"/>
      <c r="B50" s="868"/>
      <c r="C50" s="53"/>
      <c r="D50" s="53"/>
      <c r="E50" s="53"/>
      <c r="F50" s="868"/>
      <c r="G50" s="53"/>
      <c r="H50" s="53"/>
      <c r="I50" s="53"/>
      <c r="J50" s="50"/>
    </row>
    <row r="51" spans="1:10" ht="15">
      <c r="A51" s="53"/>
      <c r="B51" s="868"/>
      <c r="C51" s="53"/>
      <c r="D51" s="53"/>
      <c r="E51" s="53"/>
      <c r="F51" s="868"/>
      <c r="G51" s="53"/>
      <c r="H51" s="53"/>
      <c r="I51" s="53"/>
    </row>
    <row r="52" spans="1:10" ht="15">
      <c r="A52" s="53"/>
      <c r="B52" s="868"/>
      <c r="C52" s="53"/>
      <c r="D52" s="53"/>
      <c r="E52" s="53"/>
      <c r="F52" s="868"/>
      <c r="G52" s="53"/>
      <c r="H52" s="53"/>
      <c r="I52" s="53"/>
    </row>
    <row r="53" spans="1:10" ht="15.75">
      <c r="B53" s="867">
        <f>DATOS!E40</f>
        <v>0</v>
      </c>
      <c r="C53" s="876"/>
      <c r="D53" s="878"/>
      <c r="E53" s="876"/>
      <c r="G53" s="876"/>
      <c r="H53" s="876"/>
      <c r="I53" s="876"/>
    </row>
    <row r="54" spans="1:10" ht="15">
      <c r="A54" s="901" t="s">
        <v>1149</v>
      </c>
      <c r="B54" s="880" t="s">
        <v>331</v>
      </c>
      <c r="C54" s="877"/>
      <c r="D54" s="878"/>
      <c r="E54" s="85"/>
      <c r="G54" s="85"/>
      <c r="H54" s="85"/>
      <c r="I54" s="85"/>
    </row>
    <row r="55" spans="1:10" ht="15">
      <c r="A55" s="901" t="s">
        <v>1150</v>
      </c>
      <c r="B55" s="868"/>
      <c r="C55" s="53"/>
      <c r="D55" s="878"/>
      <c r="E55" s="85"/>
      <c r="G55" s="85"/>
      <c r="H55" s="85"/>
      <c r="I55" s="85"/>
    </row>
    <row r="56" spans="1:10" ht="15">
      <c r="A56" s="901" t="s">
        <v>1151</v>
      </c>
      <c r="B56" s="53"/>
      <c r="C56" s="53"/>
      <c r="E56" s="53"/>
      <c r="F56" s="53"/>
      <c r="G56" s="53"/>
      <c r="H56" s="53"/>
      <c r="I56" s="53"/>
    </row>
  </sheetData>
  <mergeCells count="52">
    <mergeCell ref="A34:I34"/>
    <mergeCell ref="A24:I24"/>
    <mergeCell ref="A26:I26"/>
    <mergeCell ref="A28:I28"/>
    <mergeCell ref="A29:I29"/>
    <mergeCell ref="A31:I31"/>
    <mergeCell ref="A33:I33"/>
    <mergeCell ref="A20:B20"/>
    <mergeCell ref="C20:I20"/>
    <mergeCell ref="A21:B21"/>
    <mergeCell ref="C21:I21"/>
    <mergeCell ref="A22:B22"/>
    <mergeCell ref="C22:I22"/>
    <mergeCell ref="A17:B17"/>
    <mergeCell ref="C17:I17"/>
    <mergeCell ref="A18:B18"/>
    <mergeCell ref="C18:I18"/>
    <mergeCell ref="A19:B19"/>
    <mergeCell ref="C19:I19"/>
    <mergeCell ref="A14:B14"/>
    <mergeCell ref="C14:I14"/>
    <mergeCell ref="A15:B15"/>
    <mergeCell ref="C15:I15"/>
    <mergeCell ref="A16:B16"/>
    <mergeCell ref="C16:I16"/>
    <mergeCell ref="A11:B11"/>
    <mergeCell ref="C11:I11"/>
    <mergeCell ref="A12:B12"/>
    <mergeCell ref="C12:I12"/>
    <mergeCell ref="A13:B13"/>
    <mergeCell ref="C13:I13"/>
    <mergeCell ref="A8:B8"/>
    <mergeCell ref="C8:I8"/>
    <mergeCell ref="A9:B9"/>
    <mergeCell ref="C9:I9"/>
    <mergeCell ref="A10:B10"/>
    <mergeCell ref="C10:I10"/>
    <mergeCell ref="A4:I4"/>
    <mergeCell ref="A6:B6"/>
    <mergeCell ref="E6:F6"/>
    <mergeCell ref="G6:H6"/>
    <mergeCell ref="A7:B7"/>
    <mergeCell ref="C7:I7"/>
    <mergeCell ref="A1:A3"/>
    <mergeCell ref="B1:E2"/>
    <mergeCell ref="F1:G1"/>
    <mergeCell ref="H1:I1"/>
    <mergeCell ref="F2:G2"/>
    <mergeCell ref="H2:I2"/>
    <mergeCell ref="B3:E3"/>
    <mergeCell ref="F3:G3"/>
    <mergeCell ref="H3:I3"/>
  </mergeCells>
  <conditionalFormatting sqref="C17:I17">
    <cfRule type="expression" dxfId="74" priority="5">
      <formula>$C$17&lt;=0</formula>
    </cfRule>
  </conditionalFormatting>
  <conditionalFormatting sqref="C18:I18">
    <cfRule type="expression" dxfId="73" priority="4">
      <formula>$C$18&lt;=0</formula>
    </cfRule>
  </conditionalFormatting>
  <conditionalFormatting sqref="C20:I20">
    <cfRule type="expression" dxfId="72" priority="3">
      <formula>$C$20&lt;=0</formula>
    </cfRule>
  </conditionalFormatting>
  <conditionalFormatting sqref="C22:I22">
    <cfRule type="expression" dxfId="71" priority="2">
      <formula>$C$22&lt;=0</formula>
    </cfRule>
  </conditionalFormatting>
  <conditionalFormatting sqref="C21:I21">
    <cfRule type="expression" dxfId="70" priority="1">
      <formula>$C$21&lt;=0</formula>
    </cfRule>
  </conditionalFormatting>
  <printOptions horizontalCentered="1"/>
  <pageMargins left="0.78740157480314965" right="0.39370078740157483" top="0.59055118110236227" bottom="1.2598425196850394" header="0.31496062992125984" footer="0.11811023622047245"/>
  <pageSetup scale="82" orientation="portrait" r:id="rId1"/>
  <headerFooter>
    <oddFooter>&amp;L&amp;G&amp;R&amp;"-,Cursiva"&amp;9Página &amp;P de &amp;N&amp;"-,Normal"&amp;11
&amp;G</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L146"/>
  <sheetViews>
    <sheetView zoomScaleNormal="100" zoomScaleSheetLayoutView="90" workbookViewId="0">
      <selection activeCell="N46" sqref="N46"/>
    </sheetView>
  </sheetViews>
  <sheetFormatPr baseColWidth="10" defaultColWidth="11.5703125" defaultRowHeight="14.25"/>
  <cols>
    <col min="1" max="1" width="24.5703125" style="42" customWidth="1"/>
    <col min="2" max="2" width="15.85546875" style="42" customWidth="1"/>
    <col min="3" max="3" width="37.42578125" style="42" customWidth="1"/>
    <col min="4" max="4" width="7.28515625" style="42" customWidth="1"/>
    <col min="5" max="5" width="2.28515625" style="42" customWidth="1"/>
    <col min="6" max="6" width="8.5703125" style="42" customWidth="1"/>
    <col min="7" max="7" width="6.28515625" style="42" customWidth="1"/>
    <col min="8" max="8" width="4.28515625" style="42" customWidth="1"/>
    <col min="9" max="9" width="11.7109375" style="42" customWidth="1"/>
    <col min="10" max="10" width="11.5703125" style="42" customWidth="1"/>
    <col min="11" max="11" width="0" style="42" hidden="1" customWidth="1"/>
    <col min="12" max="16384" width="11.5703125" style="42"/>
  </cols>
  <sheetData>
    <row r="1" spans="1:12" ht="24.6" customHeight="1">
      <c r="A1" s="972"/>
      <c r="B1" s="973" t="s">
        <v>295</v>
      </c>
      <c r="C1" s="973"/>
      <c r="D1" s="973"/>
      <c r="E1" s="973"/>
      <c r="F1" s="975" t="s">
        <v>90</v>
      </c>
      <c r="G1" s="975"/>
      <c r="H1" s="970" t="s">
        <v>1133</v>
      </c>
      <c r="I1" s="970"/>
      <c r="J1" s="41"/>
    </row>
    <row r="2" spans="1:12" ht="24.6" customHeight="1">
      <c r="A2" s="972"/>
      <c r="B2" s="973"/>
      <c r="C2" s="973"/>
      <c r="D2" s="973"/>
      <c r="E2" s="973"/>
      <c r="F2" s="975" t="s">
        <v>89</v>
      </c>
      <c r="G2" s="975"/>
      <c r="H2" s="970" t="s">
        <v>248</v>
      </c>
      <c r="I2" s="970"/>
      <c r="J2" s="41"/>
    </row>
    <row r="3" spans="1:12" ht="24.6" customHeight="1">
      <c r="A3" s="972"/>
      <c r="B3" s="970" t="s">
        <v>93</v>
      </c>
      <c r="C3" s="970"/>
      <c r="D3" s="970"/>
      <c r="E3" s="970"/>
      <c r="F3" s="1160" t="s">
        <v>88</v>
      </c>
      <c r="G3" s="1161"/>
      <c r="H3" s="971">
        <v>42705</v>
      </c>
      <c r="I3" s="970"/>
      <c r="J3" s="41"/>
    </row>
    <row r="4" spans="1:12" ht="34.9" customHeight="1">
      <c r="A4" s="1019" t="s">
        <v>286</v>
      </c>
      <c r="B4" s="1162"/>
      <c r="C4" s="1162"/>
      <c r="D4" s="1162"/>
      <c r="E4" s="1162"/>
      <c r="F4" s="1162"/>
      <c r="G4" s="1162"/>
      <c r="H4" s="1162"/>
      <c r="I4" s="1162"/>
      <c r="J4" s="41"/>
    </row>
    <row r="5" spans="1:12" ht="3" customHeight="1">
      <c r="A5" s="400"/>
      <c r="B5" s="138"/>
      <c r="C5" s="138"/>
      <c r="D5" s="138"/>
      <c r="E5" s="138"/>
      <c r="F5" s="138"/>
      <c r="G5" s="138"/>
      <c r="H5" s="138"/>
      <c r="I5" s="138"/>
      <c r="J5" s="41"/>
    </row>
    <row r="6" spans="1:12" ht="19.149999999999999" customHeight="1">
      <c r="A6" s="962" t="s">
        <v>1</v>
      </c>
      <c r="B6" s="962"/>
      <c r="C6" s="51">
        <f>DATOS!$E$10</f>
        <v>0</v>
      </c>
      <c r="D6" s="181" t="s">
        <v>92</v>
      </c>
      <c r="E6" s="974">
        <f>DATOS!E12</f>
        <v>0</v>
      </c>
      <c r="F6" s="974"/>
      <c r="G6" s="962" t="s">
        <v>86</v>
      </c>
      <c r="H6" s="962"/>
      <c r="I6" s="398">
        <f>DATOS!I12</f>
        <v>0</v>
      </c>
      <c r="J6" s="41"/>
    </row>
    <row r="7" spans="1:12" ht="19.149999999999999" customHeight="1">
      <c r="A7" s="962" t="s">
        <v>94</v>
      </c>
      <c r="B7" s="962"/>
      <c r="C7" s="963" t="s">
        <v>101</v>
      </c>
      <c r="D7" s="963"/>
      <c r="E7" s="963"/>
      <c r="F7" s="963"/>
      <c r="G7" s="963"/>
      <c r="H7" s="963"/>
      <c r="I7" s="963"/>
      <c r="J7" s="41"/>
    </row>
    <row r="8" spans="1:12" ht="19.149999999999999" customHeight="1">
      <c r="A8" s="962" t="s">
        <v>95</v>
      </c>
      <c r="B8" s="962"/>
      <c r="C8" s="963" t="s">
        <v>102</v>
      </c>
      <c r="D8" s="963"/>
      <c r="E8" s="963"/>
      <c r="F8" s="963"/>
      <c r="G8" s="963"/>
      <c r="H8" s="963"/>
      <c r="I8" s="963"/>
      <c r="J8" s="41"/>
    </row>
    <row r="9" spans="1:12" ht="19.149999999999999" customHeight="1">
      <c r="A9" s="962" t="str">
        <f>IF('REINIC 2'!C6="CONTRATO DE OBRA",("INTERVENTOR"),("SUPERVISOR"))</f>
        <v>SUPERVISOR</v>
      </c>
      <c r="B9" s="962"/>
      <c r="C9" s="963">
        <f>LOOKUP(A9,DATOS!C24:C30,DATOS!G24:G30)</f>
        <v>0</v>
      </c>
      <c r="D9" s="963"/>
      <c r="E9" s="963"/>
      <c r="F9" s="963"/>
      <c r="G9" s="963"/>
      <c r="H9" s="963"/>
      <c r="I9" s="963"/>
      <c r="K9" s="394" t="str">
        <f>LOOKUP(A9,DATOS!C24:C30,DATOS!M24:M30)</f>
        <v>la</v>
      </c>
    </row>
    <row r="10" spans="1:12" ht="19.149999999999999" customHeight="1">
      <c r="A10" s="962" t="s">
        <v>95</v>
      </c>
      <c r="B10" s="962"/>
      <c r="C10" s="963">
        <f>IF(A9=DATOS!C24,DATOS!E26,DATOS!E32)</f>
        <v>0</v>
      </c>
      <c r="D10" s="963"/>
      <c r="E10" s="963"/>
      <c r="F10" s="963"/>
      <c r="G10" s="963"/>
      <c r="H10" s="963"/>
      <c r="I10" s="963"/>
      <c r="K10" s="394"/>
    </row>
    <row r="11" spans="1:12" ht="19.149999999999999" customHeight="1">
      <c r="A11" s="962" t="s">
        <v>5</v>
      </c>
      <c r="B11" s="962"/>
      <c r="C11" s="963" t="str">
        <f>IF(DATOS!G28&gt;0,DATOS!G28,"N/A")</f>
        <v>N/A</v>
      </c>
      <c r="D11" s="963"/>
      <c r="E11" s="963"/>
      <c r="F11" s="963"/>
      <c r="G11" s="963"/>
      <c r="H11" s="963"/>
      <c r="I11" s="963"/>
      <c r="K11" s="394"/>
    </row>
    <row r="12" spans="1:12" ht="19.149999999999999" customHeight="1">
      <c r="A12" s="962" t="s">
        <v>107</v>
      </c>
      <c r="B12" s="962"/>
      <c r="C12" s="963">
        <f>DATOS!G16</f>
        <v>0</v>
      </c>
      <c r="D12" s="963"/>
      <c r="E12" s="963"/>
      <c r="F12" s="963"/>
      <c r="G12" s="963"/>
      <c r="H12" s="963"/>
      <c r="I12" s="963"/>
      <c r="K12" s="394" t="str">
        <f>DATOS!M16</f>
        <v>la</v>
      </c>
    </row>
    <row r="13" spans="1:12" ht="19.149999999999999" customHeight="1">
      <c r="A13" s="962" t="s">
        <v>95</v>
      </c>
      <c r="B13" s="962"/>
      <c r="C13" s="1163">
        <f>DATOS!E18</f>
        <v>0</v>
      </c>
      <c r="D13" s="963"/>
      <c r="E13" s="963"/>
      <c r="F13" s="963"/>
      <c r="G13" s="963"/>
      <c r="H13" s="963"/>
      <c r="I13" s="963"/>
      <c r="K13" s="394"/>
    </row>
    <row r="14" spans="1:12" ht="19.149999999999999" customHeight="1">
      <c r="A14" s="962" t="s">
        <v>5</v>
      </c>
      <c r="B14" s="962"/>
      <c r="C14" s="963" t="str">
        <f>IF(DATOS!G20&gt;0,DATOS!G20,"N/A")</f>
        <v>N/A</v>
      </c>
      <c r="D14" s="963"/>
      <c r="E14" s="963"/>
      <c r="F14" s="963"/>
      <c r="G14" s="963"/>
      <c r="H14" s="963"/>
      <c r="I14" s="963"/>
      <c r="K14" s="394" t="str">
        <f>DATOS!M20</f>
        <v>la</v>
      </c>
    </row>
    <row r="15" spans="1:12" ht="66.599999999999994" customHeight="1">
      <c r="A15" s="962" t="s">
        <v>8</v>
      </c>
      <c r="B15" s="962"/>
      <c r="C15" s="968">
        <f>DATOS!E38</f>
        <v>0</v>
      </c>
      <c r="D15" s="968"/>
      <c r="E15" s="968"/>
      <c r="F15" s="968"/>
      <c r="G15" s="968"/>
      <c r="H15" s="968"/>
      <c r="I15" s="968"/>
    </row>
    <row r="16" spans="1:12" ht="19.149999999999999" customHeight="1">
      <c r="A16" s="962" t="s">
        <v>12</v>
      </c>
      <c r="B16" s="962"/>
      <c r="C16" s="969">
        <f>DATOS!E46</f>
        <v>0</v>
      </c>
      <c r="D16" s="969"/>
      <c r="E16" s="969"/>
      <c r="F16" s="969"/>
      <c r="G16" s="969"/>
      <c r="H16" s="969"/>
      <c r="I16" s="969"/>
      <c r="L16" s="403" t="s">
        <v>394</v>
      </c>
    </row>
    <row r="17" spans="1:10" ht="19.149999999999999" customHeight="1">
      <c r="A17" s="1167" t="s">
        <v>391</v>
      </c>
      <c r="B17" s="1168"/>
      <c r="C17" s="1169">
        <f>IF(C18="","",DATOS!E174)</f>
        <v>42602</v>
      </c>
      <c r="D17" s="1170"/>
      <c r="E17" s="1170"/>
      <c r="F17" s="1170"/>
      <c r="G17" s="1170"/>
      <c r="H17" s="1170"/>
      <c r="I17" s="1171"/>
    </row>
    <row r="18" spans="1:10" ht="19.149999999999999" customHeight="1">
      <c r="A18" s="962" t="s">
        <v>278</v>
      </c>
      <c r="B18" s="962"/>
      <c r="C18" s="1172">
        <f>DATOS!E60</f>
        <v>30000000</v>
      </c>
      <c r="D18" s="1173"/>
      <c r="E18" s="1173"/>
      <c r="F18" s="1173"/>
      <c r="G18" s="1173"/>
      <c r="H18" s="1173"/>
      <c r="I18" s="1174"/>
    </row>
    <row r="19" spans="1:10" ht="19.149999999999999" customHeight="1">
      <c r="A19" s="1167" t="s">
        <v>392</v>
      </c>
      <c r="B19" s="1168"/>
      <c r="C19" s="1172">
        <f>IF(C20="","",DATOS!E176)</f>
        <v>0</v>
      </c>
      <c r="D19" s="1173"/>
      <c r="E19" s="1173"/>
      <c r="F19" s="1173"/>
      <c r="G19" s="1173"/>
      <c r="H19" s="1173"/>
      <c r="I19" s="1174"/>
    </row>
    <row r="20" spans="1:10" ht="19.149999999999999" customHeight="1">
      <c r="A20" s="962" t="s">
        <v>279</v>
      </c>
      <c r="B20" s="962"/>
      <c r="C20" s="1172">
        <f>DATOS!E62</f>
        <v>0</v>
      </c>
      <c r="D20" s="1173"/>
      <c r="E20" s="1173"/>
      <c r="F20" s="1173"/>
      <c r="G20" s="1173"/>
      <c r="H20" s="1173"/>
      <c r="I20" s="1174"/>
    </row>
    <row r="21" spans="1:10" ht="19.149999999999999" customHeight="1">
      <c r="A21" s="962" t="s">
        <v>11</v>
      </c>
      <c r="B21" s="962"/>
      <c r="C21" s="1175" t="str">
        <f>CONCATENATE(DATOS!E44,DATOS!F44,DATOS!G44)</f>
        <v xml:space="preserve"> </v>
      </c>
      <c r="D21" s="1176"/>
      <c r="E21" s="1176"/>
      <c r="F21" s="1176"/>
      <c r="G21" s="1176"/>
      <c r="H21" s="1176"/>
      <c r="I21" s="1177"/>
    </row>
    <row r="22" spans="1:10" ht="19.149999999999999" customHeight="1">
      <c r="A22" s="962" t="s">
        <v>388</v>
      </c>
      <c r="B22" s="962"/>
      <c r="C22" s="1169">
        <f>IF(C23="","",DATOS!E174)</f>
        <v>42602</v>
      </c>
      <c r="D22" s="1170"/>
      <c r="E22" s="1170"/>
      <c r="F22" s="1170"/>
      <c r="G22" s="1170"/>
      <c r="H22" s="1170"/>
      <c r="I22" s="1171"/>
    </row>
    <row r="23" spans="1:10" ht="19.149999999999999" customHeight="1">
      <c r="A23" s="962" t="s">
        <v>280</v>
      </c>
      <c r="B23" s="962"/>
      <c r="C23" s="1175" t="str">
        <f>IF(DATOS!E64&gt;0,CONCATENATE(DATOS!E64,DATOS!F64,DATOS!G64),0)</f>
        <v>5 MESES</v>
      </c>
      <c r="D23" s="1176"/>
      <c r="E23" s="1176"/>
      <c r="F23" s="1176"/>
      <c r="G23" s="1176"/>
      <c r="H23" s="1176"/>
      <c r="I23" s="1177"/>
    </row>
    <row r="24" spans="1:10" ht="19.149999999999999" customHeight="1">
      <c r="A24" s="1167" t="s">
        <v>389</v>
      </c>
      <c r="B24" s="1168"/>
      <c r="C24" s="1169">
        <f>IF(C20="","",DATOS!E176)</f>
        <v>0</v>
      </c>
      <c r="D24" s="1170"/>
      <c r="E24" s="1170"/>
      <c r="F24" s="1170"/>
      <c r="G24" s="1170"/>
      <c r="H24" s="1170"/>
      <c r="I24" s="1171"/>
    </row>
    <row r="25" spans="1:10" ht="19.149999999999999" customHeight="1">
      <c r="A25" s="962" t="s">
        <v>281</v>
      </c>
      <c r="B25" s="962"/>
      <c r="C25" s="1175">
        <f>IF(DATOS!E66&gt;0,CONCATENATE(DATOS!E66,DATOS!F66,DATOS!G66),0)</f>
        <v>0</v>
      </c>
      <c r="D25" s="1176"/>
      <c r="E25" s="1176"/>
      <c r="F25" s="1176"/>
      <c r="G25" s="1176"/>
      <c r="H25" s="1176"/>
      <c r="I25" s="1177"/>
    </row>
    <row r="26" spans="1:10" ht="19.149999999999999" customHeight="1">
      <c r="A26" s="1167" t="s">
        <v>390</v>
      </c>
      <c r="B26" s="1168"/>
      <c r="C26" s="1169">
        <f>IF(C27="","",DATOS!E178)</f>
        <v>0</v>
      </c>
      <c r="D26" s="1170"/>
      <c r="E26" s="1170"/>
      <c r="F26" s="1170"/>
      <c r="G26" s="1170"/>
      <c r="H26" s="1170"/>
      <c r="I26" s="1171"/>
    </row>
    <row r="27" spans="1:10" ht="19.149999999999999" customHeight="1">
      <c r="A27" s="962" t="s">
        <v>282</v>
      </c>
      <c r="B27" s="962"/>
      <c r="C27" s="1175">
        <f>IF(DATOS!E68&gt;0,CONCATENATE(DATOS!E68,DATOS!F68,DATOS!G68),0)</f>
        <v>0</v>
      </c>
      <c r="D27" s="1176"/>
      <c r="E27" s="1176"/>
      <c r="F27" s="1176"/>
      <c r="G27" s="1176"/>
      <c r="H27" s="1176"/>
      <c r="I27" s="1177"/>
    </row>
    <row r="28" spans="1:10" ht="27.6" customHeight="1">
      <c r="A28" s="53"/>
      <c r="B28" s="53"/>
      <c r="C28" s="53"/>
      <c r="D28" s="53"/>
      <c r="E28" s="53"/>
      <c r="F28" s="53"/>
      <c r="G28" s="53"/>
      <c r="H28" s="53"/>
      <c r="I28" s="53"/>
    </row>
    <row r="29" spans="1:10" ht="75" customHeight="1">
      <c r="A29" s="961" t="str">
        <f>IF(DATOS!E16="Persona Jurídica",IF(DATOS!E24="Persona Jurídica","En Popayán el día "&amp;IF((TEXT(DATOS!E80,"d"))="1",("Uno" &amp;" ("&amp;TEXT(DATOS!E80,"dd")&amp;") del mes de "&amp;TEXT(DATOS!E80,"mmmm")&amp;" de "&amp;TEXT(DATOS!E80,"yyyy")&amp;",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el reinicio del contrato en referencia."),LETRAS(TEXT(DATOS!E80,"d"))&amp;" ("&amp;TEXT(DATOS!E80,"dd")&amp;") del mes de "&amp;TEXT(DATOS!E80,"mmmm")&amp;" de "&amp;TEXT(DATOS!E80,"yyyy")&amp;",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el reinicio del contrato en referencia."),"En Popayán el día "&amp;IF((TEXT(DATOS!E80,"d"))="1",("Uno" &amp;" ("&amp;TEXT(DATOS!E80,"dd")&amp;") del mes de "&amp;TEXT(DATOS!E80,"mmmm")&amp;" de "&amp;TEXT(DATOS!E80,"yyyy")&amp;", se reunieron "&amp;DATOS!E40&amp;" en calidad de Gerente de Emcaservicios S.A. E.S.P.,"&amp;K9&amp;" "&amp;DATOS!E24&amp;" "&amp;C9&amp;", en calidad de "&amp;A9&amp;" del "&amp;DATOS!E10&amp;" No. "&amp;DATOS!E12&amp;" "&amp;DATOS!G12&amp;" "&amp;DATOS!I12&amp;", por una parte, y por la otra "&amp;K14&amp;" "&amp;DATOS!E20&amp;" "&amp;C14&amp;" Representante legal de "&amp;C12&amp;" en calidad de "&amp;A12&amp;", para acordar el reinicio del contrato en referencia."),LETRAS(TEXT(DATOS!E80,"d"))&amp;" ("&amp;TEXT(DATOS!E80,"dd")&amp;") del mes de "&amp;TEXT(DATOS!E80,"mmmm")&amp;" de "&amp;TEXT(DATOS!E80,"yyyy")&amp;", se reunieron "&amp;DATOS!E40&amp;" en calidad de Gerente de Emcaservicios S.A. E.S.P.,"&amp;K9&amp;" "&amp;DATOS!E24&amp;" "&amp;C9&amp;", en calidad de "&amp;A9&amp;" del "&amp;DATOS!E10&amp;" No. "&amp;DATOS!E12&amp;" "&amp;DATOS!G12&amp;" "&amp;DATOS!I12&amp;", por una parte, y por la otra "&amp;K14&amp;" "&amp;DATOS!E20&amp;" "&amp;C14&amp;" Representante legal de "&amp;C12&amp;" en calidad de "&amp;A12&amp;", para acordar el reinicio del contrato en referencia.")),IF(DATOS!E24="Persona Jurídica","En Popayán el día "&amp;IF((TEXT(DATOS!E80,"d"))="1",("Uno" &amp;" ("&amp;TEXT(DATOS!E80,"dd")&amp;") del mes de "&amp;TEXT(DATOS!E80,"mmmm")&amp;" de "&amp;TEXT(DATOS!E74,"yyyy")&amp;",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"&amp;K12&amp;" "&amp;DATOS!E16&amp;" "&amp;C12&amp;" en calidad de "&amp;A12&amp;", para acordar el reinicio del contrato en referencia."),LETRAS(TEXT(DATOS!E80,"d"))&amp;" ("&amp;TEXT(DATOS!E80,"dd")&amp;") del mes de "&amp;TEXT(DATOS!E80,"mmmm")&amp;" de "&amp;TEXT(DATOS!E80,"yyyy")&amp;",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"&amp;K12&amp;" "&amp;DATOS!E16&amp;" "&amp;C12&amp;" en calidad de "&amp;A12&amp;", para acordar el reinicio del contrato en referencia."),"En Popayán el día "&amp;IF((TEXT(DATOS!E80,"d"))="1",("Uno" &amp;" ("&amp;TEXT(DATOS!E80,"dd")&amp;") del mes de "&amp;TEXT(DATOS!E80,"mmmm")&amp;" de "&amp;TEXT(DATOS!E74,"yyyy")&amp;", se reunieron "&amp;DATOS!E40&amp;" en calidad de Gerente de Emcaservicios S.A. E.S.P.,"&amp;K9&amp;" "&amp;DATOS!E24&amp;" "&amp;C9&amp;", en calidad de "&amp;A9&amp;" del "&amp;DATOS!E10&amp;" No. "&amp;DATOS!E12&amp;" "&amp;DATOS!G12&amp;" "&amp;DATOS!I12&amp;", por una parte, y por la otra "&amp;K12&amp;" "&amp;DATOS!E16&amp;" "&amp;C12&amp;" en calidad de "&amp;A12&amp;", para acordar el reinicio del contrato en referencia."),LETRAS(TEXT(DATOS!E80,"d"))&amp;" ("&amp;TEXT(DATOS!E80,"dd")&amp;") del mes de "&amp;TEXT(DATOS!E80,"mmmm")&amp;" de "&amp;TEXT(DATOS!E80,"yyyy")&amp;", se reunieron "&amp;DATOS!E40&amp;" en calidad de Gerente de Emcaservicios S.A. E.S.P.,"&amp;K9&amp;" "&amp;DATOS!E24&amp;" "&amp;C9&amp;", en calidad de "&amp;A9&amp;" del "&amp;DATOS!E10&amp;" No. "&amp;DATOS!E12&amp;" "&amp;DATOS!G12&amp;" "&amp;DATOS!I12&amp;", por una parte, y por la otra "&amp;K12&amp;" "&amp;DATOS!E16&amp;" "&amp;C12&amp;" en calidad de "&amp;A12&amp;", para acordar el reinicio del contrato en referencia.")))</f>
        <v>En Popayán el día Treinta (30) del mes de June de 2017, se reunieron  en calidad de Gerente de Emcaservicios S.A. E.S.P.,la  0, en calidad de SUPERVISOR del  No.   , por una parte, y por la otra la  0 en calidad de CONTRATISTA, para acordar el reinicio del contrato en referencia.</v>
      </c>
      <c r="B29" s="961"/>
      <c r="C29" s="961"/>
      <c r="D29" s="961"/>
      <c r="E29" s="961"/>
      <c r="F29" s="961"/>
      <c r="G29" s="961"/>
      <c r="H29" s="961"/>
      <c r="I29" s="961"/>
      <c r="J29" s="50"/>
    </row>
    <row r="30" spans="1:10" ht="15">
      <c r="A30" s="399"/>
      <c r="B30" s="399"/>
      <c r="C30" s="399"/>
      <c r="D30" s="399"/>
      <c r="E30" s="399"/>
      <c r="F30" s="399"/>
      <c r="G30" s="399"/>
      <c r="H30" s="399"/>
      <c r="I30" s="399"/>
      <c r="J30" s="50"/>
    </row>
    <row r="31" spans="1:10" ht="15">
      <c r="A31" s="961" t="s">
        <v>336</v>
      </c>
      <c r="B31" s="961"/>
      <c r="C31" s="961"/>
      <c r="D31" s="961"/>
      <c r="E31" s="961"/>
      <c r="F31" s="961"/>
      <c r="G31" s="961"/>
      <c r="H31" s="961"/>
      <c r="I31" s="961"/>
      <c r="J31" s="50"/>
    </row>
    <row r="32" spans="1:10" ht="15">
      <c r="A32" s="399"/>
      <c r="B32" s="399"/>
      <c r="C32" s="399"/>
      <c r="D32" s="399"/>
      <c r="E32" s="399"/>
      <c r="F32" s="399"/>
      <c r="G32" s="399"/>
      <c r="H32" s="399"/>
      <c r="I32" s="399"/>
      <c r="J32" s="50"/>
    </row>
    <row r="33" spans="1:10" ht="27" customHeight="1">
      <c r="A33" s="1166" t="s">
        <v>335</v>
      </c>
      <c r="B33" s="961"/>
      <c r="C33" s="961"/>
      <c r="D33" s="961"/>
      <c r="E33" s="961"/>
      <c r="F33" s="961"/>
      <c r="G33" s="961"/>
      <c r="H33" s="961"/>
      <c r="I33" s="961"/>
      <c r="J33" s="50"/>
    </row>
    <row r="34" spans="1:10" ht="15">
      <c r="A34" s="399"/>
      <c r="B34" s="399"/>
      <c r="C34" s="399"/>
      <c r="D34" s="399"/>
      <c r="E34" s="399"/>
      <c r="F34" s="399"/>
      <c r="G34" s="399"/>
      <c r="H34" s="399"/>
      <c r="I34" s="399"/>
      <c r="J34" s="50"/>
    </row>
    <row r="35" spans="1:10" ht="15.75">
      <c r="A35" s="1165" t="s">
        <v>283</v>
      </c>
      <c r="B35" s="1165"/>
      <c r="C35" s="1165"/>
      <c r="D35" s="1165"/>
      <c r="E35" s="1165"/>
      <c r="F35" s="1165"/>
      <c r="G35" s="1165"/>
      <c r="H35" s="1165"/>
      <c r="I35" s="1165"/>
      <c r="J35" s="50"/>
    </row>
    <row r="36" spans="1:10" ht="15">
      <c r="A36" s="399"/>
      <c r="B36" s="399"/>
      <c r="C36" s="399"/>
      <c r="D36" s="399"/>
      <c r="E36" s="399"/>
      <c r="F36" s="399"/>
      <c r="G36" s="399"/>
      <c r="H36" s="399"/>
      <c r="I36" s="399"/>
      <c r="J36" s="50"/>
    </row>
    <row r="37" spans="1:10" ht="48.6" customHeight="1">
      <c r="A37" s="1178" t="s">
        <v>387</v>
      </c>
      <c r="B37" s="1178"/>
      <c r="C37" s="1178"/>
      <c r="D37" s="1178"/>
      <c r="E37" s="1178"/>
      <c r="F37" s="1178"/>
      <c r="G37" s="1178"/>
      <c r="H37" s="1178"/>
      <c r="I37" s="1178"/>
      <c r="J37" s="50"/>
    </row>
    <row r="38" spans="1:10" ht="15">
      <c r="A38" s="399"/>
      <c r="B38" s="399"/>
      <c r="C38" s="399"/>
      <c r="D38" s="399"/>
      <c r="E38" s="399"/>
      <c r="F38" s="399"/>
      <c r="G38" s="399"/>
      <c r="H38" s="399"/>
      <c r="I38" s="399"/>
      <c r="J38" s="50"/>
    </row>
    <row r="39" spans="1:10" ht="31.9" customHeight="1">
      <c r="A39" s="964" t="str">
        <f>"Para constancia de lo anterior, se firma en Popayán (Cauca) el día "&amp;IF((TEXT(DATOS!E74,"d"))="1",("Uno"&amp;" ("&amp;TEXT(DATOS!E74,"dd")&amp;") del mes de "&amp;TEXT(DATOS!E74,"mmmm")&amp;" de "&amp;LETRAS(TEXT(DATOS!E74,"YYYY"))&amp;" ("&amp;TEXT(DATOS!E74,"yyyy"))&amp;").",LETRAS(TEXT(DATOS!E74,"d"))&amp;" ("&amp;TEXT(DATOS!E74,"dd")&amp;") del mes de "&amp;TEXT(DATOS!E74,"mmmm")&amp;" de "&amp;LETRAS(TEXT(DATOS!E74,"YYYY"))&amp;" ("&amp;TEXT(DATOS!E74,"yyyy")&amp;").")</f>
        <v>Para constancia de lo anterior, se firma en Popayán (Cauca) el día Treinta (30) del mes de March de Dos Mil Dieciséis (2016).</v>
      </c>
      <c r="B39" s="964"/>
      <c r="C39" s="964"/>
      <c r="D39" s="964"/>
      <c r="E39" s="964"/>
      <c r="F39" s="964"/>
      <c r="G39" s="964"/>
      <c r="H39" s="964"/>
      <c r="I39" s="964"/>
    </row>
    <row r="40" spans="1:10" ht="15">
      <c r="A40" s="961"/>
      <c r="B40" s="961"/>
      <c r="C40" s="961"/>
      <c r="D40" s="961"/>
      <c r="E40" s="961"/>
      <c r="F40" s="961"/>
      <c r="G40" s="961"/>
      <c r="H40" s="961"/>
      <c r="I40" s="961"/>
      <c r="J40" s="50"/>
    </row>
    <row r="41" spans="1:10" ht="15">
      <c r="A41" s="53"/>
      <c r="B41" s="53"/>
      <c r="C41" s="53"/>
      <c r="D41" s="53"/>
      <c r="E41" s="53"/>
      <c r="F41" s="53"/>
      <c r="G41" s="53"/>
      <c r="H41" s="53"/>
      <c r="I41" s="53"/>
    </row>
    <row r="42" spans="1:10" ht="15">
      <c r="A42" s="53"/>
      <c r="B42" s="53"/>
      <c r="C42" s="53"/>
      <c r="D42" s="53"/>
      <c r="E42" s="53"/>
      <c r="F42" s="53"/>
      <c r="G42" s="53"/>
      <c r="H42" s="53"/>
      <c r="I42" s="53"/>
    </row>
    <row r="43" spans="1:10" ht="15">
      <c r="A43" s="53"/>
      <c r="B43" s="53"/>
      <c r="C43" s="53"/>
      <c r="D43" s="53"/>
      <c r="E43" s="53"/>
      <c r="F43" s="53"/>
      <c r="G43" s="53"/>
      <c r="H43" s="53"/>
      <c r="I43" s="53"/>
    </row>
    <row r="44" spans="1:10" ht="15">
      <c r="A44" s="53"/>
      <c r="B44" s="53"/>
      <c r="C44" s="53"/>
      <c r="D44" s="53"/>
      <c r="E44" s="53"/>
      <c r="F44" s="53"/>
      <c r="G44" s="53"/>
      <c r="H44" s="53"/>
      <c r="I44" s="53"/>
    </row>
    <row r="45" spans="1:10" ht="15.75">
      <c r="A45" s="53"/>
      <c r="B45" s="401">
        <f>IF(DATOS!E16="Persona Jurídica",DATOS!G20,DATOS!G16)</f>
        <v>0</v>
      </c>
      <c r="C45" s="53"/>
      <c r="D45" s="53"/>
      <c r="E45" s="53"/>
      <c r="F45" s="401">
        <f>IF(DATOS!E10="CONTRATO DE OBRA",IF(DATOS!E24="Persona Jurídica",DATOS!G28,DATOS!G24),DATOS!G30)</f>
        <v>0</v>
      </c>
      <c r="G45" s="53"/>
      <c r="H45" s="53"/>
      <c r="I45" s="53"/>
    </row>
    <row r="46" spans="1:10" ht="15">
      <c r="A46" s="53"/>
      <c r="B46" s="402" t="str">
        <f>IF(DATOS!E16="Persona Jurídica",DATOS!G16,"Contratista")</f>
        <v>Contratista</v>
      </c>
      <c r="C46" s="53"/>
      <c r="D46" s="53"/>
      <c r="E46" s="53"/>
      <c r="F46" s="402" t="str">
        <f>IF(DATOS!E24="Persona Jurídica",DATOS!G24,"Interventor")</f>
        <v>Interventor</v>
      </c>
      <c r="G46" s="53"/>
      <c r="H46" s="53"/>
      <c r="I46" s="53"/>
    </row>
    <row r="47" spans="1:10" ht="15">
      <c r="A47" s="53"/>
      <c r="B47" s="402" t="str">
        <f>IF(DATOS!E16="Persona jurídica","Contratista"," ")</f>
        <v xml:space="preserve"> </v>
      </c>
      <c r="C47" s="53"/>
      <c r="D47" s="53"/>
      <c r="E47" s="53"/>
      <c r="F47" s="402" t="str">
        <f>IF(DATOS!E24="Persona jurídica","Interventor"," ")</f>
        <v xml:space="preserve"> </v>
      </c>
      <c r="G47" s="53"/>
      <c r="H47" s="53"/>
      <c r="I47" s="53"/>
    </row>
    <row r="48" spans="1:10" ht="15">
      <c r="A48" s="53"/>
      <c r="B48" s="402"/>
      <c r="C48" s="53"/>
      <c r="D48" s="53"/>
      <c r="E48" s="53"/>
      <c r="F48" s="402"/>
      <c r="G48" s="53"/>
      <c r="H48" s="53"/>
      <c r="I48" s="53"/>
    </row>
    <row r="49" spans="1:10" ht="15">
      <c r="A49" s="53"/>
      <c r="B49" s="402"/>
      <c r="C49" s="53"/>
      <c r="D49" s="53"/>
      <c r="E49" s="53"/>
      <c r="F49" s="402"/>
      <c r="G49" s="53"/>
      <c r="H49" s="53"/>
      <c r="I49" s="53"/>
    </row>
    <row r="50" spans="1:10" ht="15">
      <c r="A50" s="53"/>
      <c r="B50" s="885"/>
      <c r="C50" s="53"/>
      <c r="D50" s="53"/>
      <c r="E50" s="53"/>
      <c r="F50" s="885"/>
      <c r="G50" s="53"/>
      <c r="H50" s="53"/>
      <c r="I50" s="53"/>
    </row>
    <row r="51" spans="1:10" ht="15">
      <c r="A51" s="53"/>
      <c r="B51" s="885"/>
      <c r="C51" s="53"/>
      <c r="D51" s="53"/>
      <c r="E51" s="53"/>
      <c r="F51" s="885"/>
      <c r="G51" s="53"/>
      <c r="H51" s="53"/>
      <c r="I51" s="53"/>
    </row>
    <row r="52" spans="1:10" ht="15.75">
      <c r="A52" s="53"/>
      <c r="B52" s="886">
        <f>DATOS!G30</f>
        <v>0</v>
      </c>
      <c r="C52" s="53"/>
      <c r="D52" s="53"/>
      <c r="E52" s="53"/>
      <c r="F52" s="886">
        <f>+DATOS!E42</f>
        <v>0</v>
      </c>
      <c r="G52" s="53"/>
      <c r="H52" s="53"/>
      <c r="I52" s="53"/>
    </row>
    <row r="53" spans="1:10" ht="15">
      <c r="A53" s="53"/>
      <c r="B53" s="885" t="s">
        <v>1143</v>
      </c>
      <c r="C53" s="53"/>
      <c r="D53" s="53"/>
      <c r="E53" s="53"/>
      <c r="F53" s="879" t="s">
        <v>330</v>
      </c>
      <c r="G53" s="53"/>
      <c r="H53" s="53"/>
      <c r="I53" s="53"/>
    </row>
    <row r="54" spans="1:10" ht="15">
      <c r="A54" s="53"/>
      <c r="B54" s="885"/>
      <c r="C54" s="53"/>
      <c r="D54" s="53"/>
      <c r="E54" s="53"/>
      <c r="F54" s="879" t="s">
        <v>270</v>
      </c>
      <c r="G54" s="53"/>
      <c r="H54" s="53"/>
      <c r="I54" s="53"/>
    </row>
    <row r="55" spans="1:10" ht="15">
      <c r="A55" s="53"/>
      <c r="B55" s="885"/>
      <c r="C55" s="53"/>
      <c r="D55" s="53"/>
      <c r="E55" s="53"/>
      <c r="F55" s="885"/>
      <c r="G55" s="53"/>
      <c r="H55" s="53"/>
      <c r="I55" s="53"/>
    </row>
    <row r="56" spans="1:10" ht="15">
      <c r="A56" s="53"/>
      <c r="B56" s="885"/>
      <c r="C56" s="53"/>
      <c r="D56" s="53"/>
      <c r="E56" s="53"/>
      <c r="F56" s="885"/>
      <c r="G56" s="53"/>
      <c r="H56" s="53"/>
      <c r="I56" s="53"/>
    </row>
    <row r="57" spans="1:10" ht="15">
      <c r="A57" s="53"/>
      <c r="B57" s="402"/>
      <c r="C57" s="53"/>
      <c r="D57" s="53"/>
      <c r="E57" s="53"/>
      <c r="F57" s="402"/>
      <c r="G57" s="53"/>
      <c r="H57" s="53"/>
      <c r="I57" s="53"/>
    </row>
    <row r="58" spans="1:10" ht="15">
      <c r="A58" s="53"/>
      <c r="B58" s="402"/>
      <c r="C58" s="53"/>
      <c r="D58" s="53"/>
      <c r="E58" s="53"/>
      <c r="F58" s="402"/>
      <c r="G58" s="53"/>
      <c r="H58" s="53"/>
      <c r="I58" s="53"/>
    </row>
    <row r="59" spans="1:10" ht="15">
      <c r="A59" s="53"/>
      <c r="B59" s="402"/>
      <c r="C59" s="53"/>
      <c r="D59" s="53"/>
      <c r="E59" s="53"/>
      <c r="F59" s="402"/>
      <c r="G59" s="53"/>
      <c r="H59" s="53"/>
      <c r="I59" s="53"/>
    </row>
    <row r="60" spans="1:10" ht="15.75">
      <c r="B60" s="867">
        <f>DATOS!E40</f>
        <v>0</v>
      </c>
      <c r="C60" s="876"/>
      <c r="D60" s="876"/>
      <c r="E60" s="876"/>
      <c r="F60" s="867"/>
      <c r="G60" s="876"/>
      <c r="H60" s="876"/>
      <c r="I60" s="876"/>
    </row>
    <row r="61" spans="1:10" ht="15.6" customHeight="1">
      <c r="A61" s="901" t="s">
        <v>1149</v>
      </c>
      <c r="B61" s="881" t="s">
        <v>331</v>
      </c>
      <c r="C61" s="881"/>
      <c r="D61" s="881"/>
      <c r="E61" s="881"/>
      <c r="F61" s="879"/>
      <c r="G61" s="881"/>
      <c r="H61" s="881"/>
      <c r="I61" s="881"/>
    </row>
    <row r="62" spans="1:10" ht="15">
      <c r="A62" s="901" t="s">
        <v>1150</v>
      </c>
      <c r="B62" s="868"/>
      <c r="C62" s="53"/>
      <c r="D62" s="53"/>
      <c r="E62" s="53"/>
      <c r="F62" s="879"/>
      <c r="G62" s="53"/>
      <c r="H62" s="53"/>
      <c r="I62" s="53"/>
    </row>
    <row r="63" spans="1:10" ht="15">
      <c r="A63" s="901" t="s">
        <v>1151</v>
      </c>
      <c r="B63" s="53"/>
      <c r="C63" s="53"/>
      <c r="D63" s="53"/>
      <c r="E63" s="53"/>
      <c r="F63" s="53"/>
      <c r="G63" s="53"/>
      <c r="H63" s="53"/>
      <c r="I63" s="53"/>
      <c r="J63" s="50"/>
    </row>
    <row r="145" hidden="1"/>
    <row r="146" hidden="1"/>
  </sheetData>
  <mergeCells count="62">
    <mergeCell ref="A33:I33"/>
    <mergeCell ref="A35:I35"/>
    <mergeCell ref="A37:I37"/>
    <mergeCell ref="A39:I39"/>
    <mergeCell ref="A40:I40"/>
    <mergeCell ref="A31:I31"/>
    <mergeCell ref="A23:B23"/>
    <mergeCell ref="C23:I23"/>
    <mergeCell ref="A24:B24"/>
    <mergeCell ref="C24:I24"/>
    <mergeCell ref="A25:B25"/>
    <mergeCell ref="C25:I25"/>
    <mergeCell ref="A26:B26"/>
    <mergeCell ref="C26:I26"/>
    <mergeCell ref="A27:B27"/>
    <mergeCell ref="C27:I27"/>
    <mergeCell ref="A29:I29"/>
    <mergeCell ref="A20:B20"/>
    <mergeCell ref="C20:I20"/>
    <mergeCell ref="A21:B21"/>
    <mergeCell ref="C21:I21"/>
    <mergeCell ref="A22:B22"/>
    <mergeCell ref="C22:I22"/>
    <mergeCell ref="A17:B17"/>
    <mergeCell ref="C17:I17"/>
    <mergeCell ref="A18:B18"/>
    <mergeCell ref="C18:I18"/>
    <mergeCell ref="A19:B19"/>
    <mergeCell ref="C19:I19"/>
    <mergeCell ref="A14:B14"/>
    <mergeCell ref="C14:I14"/>
    <mergeCell ref="A15:B15"/>
    <mergeCell ref="C15:I15"/>
    <mergeCell ref="A16:B16"/>
    <mergeCell ref="C16:I16"/>
    <mergeCell ref="A11:B11"/>
    <mergeCell ref="C11:I11"/>
    <mergeCell ref="A12:B12"/>
    <mergeCell ref="C12:I12"/>
    <mergeCell ref="A13:B13"/>
    <mergeCell ref="C13:I13"/>
    <mergeCell ref="A8:B8"/>
    <mergeCell ref="C8:I8"/>
    <mergeCell ref="A9:B9"/>
    <mergeCell ref="C9:I9"/>
    <mergeCell ref="A10:B10"/>
    <mergeCell ref="C10:I10"/>
    <mergeCell ref="A4:I4"/>
    <mergeCell ref="A6:B6"/>
    <mergeCell ref="E6:F6"/>
    <mergeCell ref="G6:H6"/>
    <mergeCell ref="A7:B7"/>
    <mergeCell ref="C7:I7"/>
    <mergeCell ref="A1:A3"/>
    <mergeCell ref="B1:E2"/>
    <mergeCell ref="F1:G1"/>
    <mergeCell ref="H1:I1"/>
    <mergeCell ref="F2:G2"/>
    <mergeCell ref="H2:I2"/>
    <mergeCell ref="B3:E3"/>
    <mergeCell ref="F3:G3"/>
    <mergeCell ref="H3:I3"/>
  </mergeCells>
  <conditionalFormatting sqref="C18:I18">
    <cfRule type="expression" dxfId="69" priority="6">
      <formula>$C$18&lt;=0</formula>
    </cfRule>
  </conditionalFormatting>
  <conditionalFormatting sqref="C20:I20">
    <cfRule type="expression" dxfId="68" priority="5">
      <formula>$C$20&lt;=0</formula>
    </cfRule>
  </conditionalFormatting>
  <conditionalFormatting sqref="C23:I23">
    <cfRule type="expression" dxfId="67" priority="4">
      <formula>$C$23&lt;=0</formula>
    </cfRule>
  </conditionalFormatting>
  <conditionalFormatting sqref="C27:I27">
    <cfRule type="expression" dxfId="66" priority="3">
      <formula>$C$27&lt;=0</formula>
    </cfRule>
  </conditionalFormatting>
  <conditionalFormatting sqref="C25:I25">
    <cfRule type="expression" dxfId="65" priority="2">
      <formula>$C$25&lt;=0</formula>
    </cfRule>
  </conditionalFormatting>
  <conditionalFormatting sqref="C19:I19">
    <cfRule type="expression" dxfId="64" priority="1">
      <formula>$C$20&lt;=0</formula>
    </cfRule>
  </conditionalFormatting>
  <printOptions horizontalCentered="1"/>
  <pageMargins left="0.78740157480314965" right="0.39370078740157483" top="0.59055118110236227" bottom="1.3779527559055118" header="0.31496062992125984" footer="0.11811023622047245"/>
  <pageSetup scale="82" orientation="portrait" r:id="rId1"/>
  <headerFooter>
    <oddFooter xml:space="preserve">&amp;L&amp;G&amp;R&amp;"-,Cursiva"&amp;9Página &amp;P de &amp;N
&amp;G&amp;"-,Normal"&amp;11
</oddFooter>
  </headerFooter>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W219"/>
  <sheetViews>
    <sheetView view="pageBreakPreview" zoomScaleNormal="100" zoomScaleSheetLayoutView="100" workbookViewId="0">
      <selection activeCell="A81" sqref="A81:D83"/>
    </sheetView>
  </sheetViews>
  <sheetFormatPr baseColWidth="10" defaultRowHeight="12.75"/>
  <cols>
    <col min="1" max="3" width="3.28515625" style="414" customWidth="1"/>
    <col min="4" max="4" width="8.140625" style="414" customWidth="1"/>
    <col min="5" max="5" width="3.28515625" style="466" customWidth="1"/>
    <col min="6" max="8" width="3.28515625" style="414" customWidth="1"/>
    <col min="9" max="9" width="6.28515625" style="414" customWidth="1"/>
    <col min="10" max="15" width="3.28515625" style="414" customWidth="1"/>
    <col min="16" max="16" width="3.7109375" style="414" customWidth="1"/>
    <col min="17" max="17" width="3.28515625" style="414" customWidth="1"/>
    <col min="18" max="18" width="4.85546875" style="414" customWidth="1"/>
    <col min="19" max="19" width="10.140625" style="414" customWidth="1"/>
    <col min="20" max="20" width="4.28515625" style="414" customWidth="1"/>
    <col min="21" max="21" width="3.28515625" style="414" customWidth="1"/>
    <col min="22" max="22" width="12.85546875" style="414" customWidth="1"/>
    <col min="23" max="23" width="18.28515625" style="414" customWidth="1"/>
    <col min="24" max="256" width="11.42578125" style="414"/>
    <col min="257" max="259" width="3.28515625" style="414" customWidth="1"/>
    <col min="260" max="260" width="8.140625" style="414" customWidth="1"/>
    <col min="261" max="264" width="3.28515625" style="414" customWidth="1"/>
    <col min="265" max="265" width="6.28515625" style="414" customWidth="1"/>
    <col min="266" max="271" width="3.28515625" style="414" customWidth="1"/>
    <col min="272" max="272" width="3.7109375" style="414" customWidth="1"/>
    <col min="273" max="273" width="3.28515625" style="414" customWidth="1"/>
    <col min="274" max="274" width="4.85546875" style="414" customWidth="1"/>
    <col min="275" max="275" width="10.140625" style="414" customWidth="1"/>
    <col min="276" max="276" width="4.28515625" style="414" customWidth="1"/>
    <col min="277" max="277" width="3.28515625" style="414" customWidth="1"/>
    <col min="278" max="278" width="12.85546875" style="414" customWidth="1"/>
    <col min="279" max="279" width="18.28515625" style="414" customWidth="1"/>
    <col min="280" max="512" width="11.42578125" style="414"/>
    <col min="513" max="515" width="3.28515625" style="414" customWidth="1"/>
    <col min="516" max="516" width="8.140625" style="414" customWidth="1"/>
    <col min="517" max="520" width="3.28515625" style="414" customWidth="1"/>
    <col min="521" max="521" width="6.28515625" style="414" customWidth="1"/>
    <col min="522" max="527" width="3.28515625" style="414" customWidth="1"/>
    <col min="528" max="528" width="3.7109375" style="414" customWidth="1"/>
    <col min="529" max="529" width="3.28515625" style="414" customWidth="1"/>
    <col min="530" max="530" width="4.85546875" style="414" customWidth="1"/>
    <col min="531" max="531" width="10.140625" style="414" customWidth="1"/>
    <col min="532" max="532" width="4.28515625" style="414" customWidth="1"/>
    <col min="533" max="533" width="3.28515625" style="414" customWidth="1"/>
    <col min="534" max="534" width="12.85546875" style="414" customWidth="1"/>
    <col min="535" max="535" width="18.28515625" style="414" customWidth="1"/>
    <col min="536" max="768" width="11.42578125" style="414"/>
    <col min="769" max="771" width="3.28515625" style="414" customWidth="1"/>
    <col min="772" max="772" width="8.140625" style="414" customWidth="1"/>
    <col min="773" max="776" width="3.28515625" style="414" customWidth="1"/>
    <col min="777" max="777" width="6.28515625" style="414" customWidth="1"/>
    <col min="778" max="783" width="3.28515625" style="414" customWidth="1"/>
    <col min="784" max="784" width="3.7109375" style="414" customWidth="1"/>
    <col min="785" max="785" width="3.28515625" style="414" customWidth="1"/>
    <col min="786" max="786" width="4.85546875" style="414" customWidth="1"/>
    <col min="787" max="787" width="10.140625" style="414" customWidth="1"/>
    <col min="788" max="788" width="4.28515625" style="414" customWidth="1"/>
    <col min="789" max="789" width="3.28515625" style="414" customWidth="1"/>
    <col min="790" max="790" width="12.85546875" style="414" customWidth="1"/>
    <col min="791" max="791" width="18.28515625" style="414" customWidth="1"/>
    <col min="792" max="1024" width="11.42578125" style="414"/>
    <col min="1025" max="1027" width="3.28515625" style="414" customWidth="1"/>
    <col min="1028" max="1028" width="8.140625" style="414" customWidth="1"/>
    <col min="1029" max="1032" width="3.28515625" style="414" customWidth="1"/>
    <col min="1033" max="1033" width="6.28515625" style="414" customWidth="1"/>
    <col min="1034" max="1039" width="3.28515625" style="414" customWidth="1"/>
    <col min="1040" max="1040" width="3.7109375" style="414" customWidth="1"/>
    <col min="1041" max="1041" width="3.28515625" style="414" customWidth="1"/>
    <col min="1042" max="1042" width="4.85546875" style="414" customWidth="1"/>
    <col min="1043" max="1043" width="10.140625" style="414" customWidth="1"/>
    <col min="1044" max="1044" width="4.28515625" style="414" customWidth="1"/>
    <col min="1045" max="1045" width="3.28515625" style="414" customWidth="1"/>
    <col min="1046" max="1046" width="12.85546875" style="414" customWidth="1"/>
    <col min="1047" max="1047" width="18.28515625" style="414" customWidth="1"/>
    <col min="1048" max="1280" width="11.42578125" style="414"/>
    <col min="1281" max="1283" width="3.28515625" style="414" customWidth="1"/>
    <col min="1284" max="1284" width="8.140625" style="414" customWidth="1"/>
    <col min="1285" max="1288" width="3.28515625" style="414" customWidth="1"/>
    <col min="1289" max="1289" width="6.28515625" style="414" customWidth="1"/>
    <col min="1290" max="1295" width="3.28515625" style="414" customWidth="1"/>
    <col min="1296" max="1296" width="3.7109375" style="414" customWidth="1"/>
    <col min="1297" max="1297" width="3.28515625" style="414" customWidth="1"/>
    <col min="1298" max="1298" width="4.85546875" style="414" customWidth="1"/>
    <col min="1299" max="1299" width="10.140625" style="414" customWidth="1"/>
    <col min="1300" max="1300" width="4.28515625" style="414" customWidth="1"/>
    <col min="1301" max="1301" width="3.28515625" style="414" customWidth="1"/>
    <col min="1302" max="1302" width="12.85546875" style="414" customWidth="1"/>
    <col min="1303" max="1303" width="18.28515625" style="414" customWidth="1"/>
    <col min="1304" max="1536" width="11.42578125" style="414"/>
    <col min="1537" max="1539" width="3.28515625" style="414" customWidth="1"/>
    <col min="1540" max="1540" width="8.140625" style="414" customWidth="1"/>
    <col min="1541" max="1544" width="3.28515625" style="414" customWidth="1"/>
    <col min="1545" max="1545" width="6.28515625" style="414" customWidth="1"/>
    <col min="1546" max="1551" width="3.28515625" style="414" customWidth="1"/>
    <col min="1552" max="1552" width="3.7109375" style="414" customWidth="1"/>
    <col min="1553" max="1553" width="3.28515625" style="414" customWidth="1"/>
    <col min="1554" max="1554" width="4.85546875" style="414" customWidth="1"/>
    <col min="1555" max="1555" width="10.140625" style="414" customWidth="1"/>
    <col min="1556" max="1556" width="4.28515625" style="414" customWidth="1"/>
    <col min="1557" max="1557" width="3.28515625" style="414" customWidth="1"/>
    <col min="1558" max="1558" width="12.85546875" style="414" customWidth="1"/>
    <col min="1559" max="1559" width="18.28515625" style="414" customWidth="1"/>
    <col min="1560" max="1792" width="11.42578125" style="414"/>
    <col min="1793" max="1795" width="3.28515625" style="414" customWidth="1"/>
    <col min="1796" max="1796" width="8.140625" style="414" customWidth="1"/>
    <col min="1797" max="1800" width="3.28515625" style="414" customWidth="1"/>
    <col min="1801" max="1801" width="6.28515625" style="414" customWidth="1"/>
    <col min="1802" max="1807" width="3.28515625" style="414" customWidth="1"/>
    <col min="1808" max="1808" width="3.7109375" style="414" customWidth="1"/>
    <col min="1809" max="1809" width="3.28515625" style="414" customWidth="1"/>
    <col min="1810" max="1810" width="4.85546875" style="414" customWidth="1"/>
    <col min="1811" max="1811" width="10.140625" style="414" customWidth="1"/>
    <col min="1812" max="1812" width="4.28515625" style="414" customWidth="1"/>
    <col min="1813" max="1813" width="3.28515625" style="414" customWidth="1"/>
    <col min="1814" max="1814" width="12.85546875" style="414" customWidth="1"/>
    <col min="1815" max="1815" width="18.28515625" style="414" customWidth="1"/>
    <col min="1816" max="2048" width="11.42578125" style="414"/>
    <col min="2049" max="2051" width="3.28515625" style="414" customWidth="1"/>
    <col min="2052" max="2052" width="8.140625" style="414" customWidth="1"/>
    <col min="2053" max="2056" width="3.28515625" style="414" customWidth="1"/>
    <col min="2057" max="2057" width="6.28515625" style="414" customWidth="1"/>
    <col min="2058" max="2063" width="3.28515625" style="414" customWidth="1"/>
    <col min="2064" max="2064" width="3.7109375" style="414" customWidth="1"/>
    <col min="2065" max="2065" width="3.28515625" style="414" customWidth="1"/>
    <col min="2066" max="2066" width="4.85546875" style="414" customWidth="1"/>
    <col min="2067" max="2067" width="10.140625" style="414" customWidth="1"/>
    <col min="2068" max="2068" width="4.28515625" style="414" customWidth="1"/>
    <col min="2069" max="2069" width="3.28515625" style="414" customWidth="1"/>
    <col min="2070" max="2070" width="12.85546875" style="414" customWidth="1"/>
    <col min="2071" max="2071" width="18.28515625" style="414" customWidth="1"/>
    <col min="2072" max="2304" width="11.42578125" style="414"/>
    <col min="2305" max="2307" width="3.28515625" style="414" customWidth="1"/>
    <col min="2308" max="2308" width="8.140625" style="414" customWidth="1"/>
    <col min="2309" max="2312" width="3.28515625" style="414" customWidth="1"/>
    <col min="2313" max="2313" width="6.28515625" style="414" customWidth="1"/>
    <col min="2314" max="2319" width="3.28515625" style="414" customWidth="1"/>
    <col min="2320" max="2320" width="3.7109375" style="414" customWidth="1"/>
    <col min="2321" max="2321" width="3.28515625" style="414" customWidth="1"/>
    <col min="2322" max="2322" width="4.85546875" style="414" customWidth="1"/>
    <col min="2323" max="2323" width="10.140625" style="414" customWidth="1"/>
    <col min="2324" max="2324" width="4.28515625" style="414" customWidth="1"/>
    <col min="2325" max="2325" width="3.28515625" style="414" customWidth="1"/>
    <col min="2326" max="2326" width="12.85546875" style="414" customWidth="1"/>
    <col min="2327" max="2327" width="18.28515625" style="414" customWidth="1"/>
    <col min="2328" max="2560" width="11.42578125" style="414"/>
    <col min="2561" max="2563" width="3.28515625" style="414" customWidth="1"/>
    <col min="2564" max="2564" width="8.140625" style="414" customWidth="1"/>
    <col min="2565" max="2568" width="3.28515625" style="414" customWidth="1"/>
    <col min="2569" max="2569" width="6.28515625" style="414" customWidth="1"/>
    <col min="2570" max="2575" width="3.28515625" style="414" customWidth="1"/>
    <col min="2576" max="2576" width="3.7109375" style="414" customWidth="1"/>
    <col min="2577" max="2577" width="3.28515625" style="414" customWidth="1"/>
    <col min="2578" max="2578" width="4.85546875" style="414" customWidth="1"/>
    <col min="2579" max="2579" width="10.140625" style="414" customWidth="1"/>
    <col min="2580" max="2580" width="4.28515625" style="414" customWidth="1"/>
    <col min="2581" max="2581" width="3.28515625" style="414" customWidth="1"/>
    <col min="2582" max="2582" width="12.85546875" style="414" customWidth="1"/>
    <col min="2583" max="2583" width="18.28515625" style="414" customWidth="1"/>
    <col min="2584" max="2816" width="11.42578125" style="414"/>
    <col min="2817" max="2819" width="3.28515625" style="414" customWidth="1"/>
    <col min="2820" max="2820" width="8.140625" style="414" customWidth="1"/>
    <col min="2821" max="2824" width="3.28515625" style="414" customWidth="1"/>
    <col min="2825" max="2825" width="6.28515625" style="414" customWidth="1"/>
    <col min="2826" max="2831" width="3.28515625" style="414" customWidth="1"/>
    <col min="2832" max="2832" width="3.7109375" style="414" customWidth="1"/>
    <col min="2833" max="2833" width="3.28515625" style="414" customWidth="1"/>
    <col min="2834" max="2834" width="4.85546875" style="414" customWidth="1"/>
    <col min="2835" max="2835" width="10.140625" style="414" customWidth="1"/>
    <col min="2836" max="2836" width="4.28515625" style="414" customWidth="1"/>
    <col min="2837" max="2837" width="3.28515625" style="414" customWidth="1"/>
    <col min="2838" max="2838" width="12.85546875" style="414" customWidth="1"/>
    <col min="2839" max="2839" width="18.28515625" style="414" customWidth="1"/>
    <col min="2840" max="3072" width="11.42578125" style="414"/>
    <col min="3073" max="3075" width="3.28515625" style="414" customWidth="1"/>
    <col min="3076" max="3076" width="8.140625" style="414" customWidth="1"/>
    <col min="3077" max="3080" width="3.28515625" style="414" customWidth="1"/>
    <col min="3081" max="3081" width="6.28515625" style="414" customWidth="1"/>
    <col min="3082" max="3087" width="3.28515625" style="414" customWidth="1"/>
    <col min="3088" max="3088" width="3.7109375" style="414" customWidth="1"/>
    <col min="3089" max="3089" width="3.28515625" style="414" customWidth="1"/>
    <col min="3090" max="3090" width="4.85546875" style="414" customWidth="1"/>
    <col min="3091" max="3091" width="10.140625" style="414" customWidth="1"/>
    <col min="3092" max="3092" width="4.28515625" style="414" customWidth="1"/>
    <col min="3093" max="3093" width="3.28515625" style="414" customWidth="1"/>
    <col min="3094" max="3094" width="12.85546875" style="414" customWidth="1"/>
    <col min="3095" max="3095" width="18.28515625" style="414" customWidth="1"/>
    <col min="3096" max="3328" width="11.42578125" style="414"/>
    <col min="3329" max="3331" width="3.28515625" style="414" customWidth="1"/>
    <col min="3332" max="3332" width="8.140625" style="414" customWidth="1"/>
    <col min="3333" max="3336" width="3.28515625" style="414" customWidth="1"/>
    <col min="3337" max="3337" width="6.28515625" style="414" customWidth="1"/>
    <col min="3338" max="3343" width="3.28515625" style="414" customWidth="1"/>
    <col min="3344" max="3344" width="3.7109375" style="414" customWidth="1"/>
    <col min="3345" max="3345" width="3.28515625" style="414" customWidth="1"/>
    <col min="3346" max="3346" width="4.85546875" style="414" customWidth="1"/>
    <col min="3347" max="3347" width="10.140625" style="414" customWidth="1"/>
    <col min="3348" max="3348" width="4.28515625" style="414" customWidth="1"/>
    <col min="3349" max="3349" width="3.28515625" style="414" customWidth="1"/>
    <col min="3350" max="3350" width="12.85546875" style="414" customWidth="1"/>
    <col min="3351" max="3351" width="18.28515625" style="414" customWidth="1"/>
    <col min="3352" max="3584" width="11.42578125" style="414"/>
    <col min="3585" max="3587" width="3.28515625" style="414" customWidth="1"/>
    <col min="3588" max="3588" width="8.140625" style="414" customWidth="1"/>
    <col min="3589" max="3592" width="3.28515625" style="414" customWidth="1"/>
    <col min="3593" max="3593" width="6.28515625" style="414" customWidth="1"/>
    <col min="3594" max="3599" width="3.28515625" style="414" customWidth="1"/>
    <col min="3600" max="3600" width="3.7109375" style="414" customWidth="1"/>
    <col min="3601" max="3601" width="3.28515625" style="414" customWidth="1"/>
    <col min="3602" max="3602" width="4.85546875" style="414" customWidth="1"/>
    <col min="3603" max="3603" width="10.140625" style="414" customWidth="1"/>
    <col min="3604" max="3604" width="4.28515625" style="414" customWidth="1"/>
    <col min="3605" max="3605" width="3.28515625" style="414" customWidth="1"/>
    <col min="3606" max="3606" width="12.85546875" style="414" customWidth="1"/>
    <col min="3607" max="3607" width="18.28515625" style="414" customWidth="1"/>
    <col min="3608" max="3840" width="11.42578125" style="414"/>
    <col min="3841" max="3843" width="3.28515625" style="414" customWidth="1"/>
    <col min="3844" max="3844" width="8.140625" style="414" customWidth="1"/>
    <col min="3845" max="3848" width="3.28515625" style="414" customWidth="1"/>
    <col min="3849" max="3849" width="6.28515625" style="414" customWidth="1"/>
    <col min="3850" max="3855" width="3.28515625" style="414" customWidth="1"/>
    <col min="3856" max="3856" width="3.7109375" style="414" customWidth="1"/>
    <col min="3857" max="3857" width="3.28515625" style="414" customWidth="1"/>
    <col min="3858" max="3858" width="4.85546875" style="414" customWidth="1"/>
    <col min="3859" max="3859" width="10.140625" style="414" customWidth="1"/>
    <col min="3860" max="3860" width="4.28515625" style="414" customWidth="1"/>
    <col min="3861" max="3861" width="3.28515625" style="414" customWidth="1"/>
    <col min="3862" max="3862" width="12.85546875" style="414" customWidth="1"/>
    <col min="3863" max="3863" width="18.28515625" style="414" customWidth="1"/>
    <col min="3864" max="4096" width="11.42578125" style="414"/>
    <col min="4097" max="4099" width="3.28515625" style="414" customWidth="1"/>
    <col min="4100" max="4100" width="8.140625" style="414" customWidth="1"/>
    <col min="4101" max="4104" width="3.28515625" style="414" customWidth="1"/>
    <col min="4105" max="4105" width="6.28515625" style="414" customWidth="1"/>
    <col min="4106" max="4111" width="3.28515625" style="414" customWidth="1"/>
    <col min="4112" max="4112" width="3.7109375" style="414" customWidth="1"/>
    <col min="4113" max="4113" width="3.28515625" style="414" customWidth="1"/>
    <col min="4114" max="4114" width="4.85546875" style="414" customWidth="1"/>
    <col min="4115" max="4115" width="10.140625" style="414" customWidth="1"/>
    <col min="4116" max="4116" width="4.28515625" style="414" customWidth="1"/>
    <col min="4117" max="4117" width="3.28515625" style="414" customWidth="1"/>
    <col min="4118" max="4118" width="12.85546875" style="414" customWidth="1"/>
    <col min="4119" max="4119" width="18.28515625" style="414" customWidth="1"/>
    <col min="4120" max="4352" width="11.42578125" style="414"/>
    <col min="4353" max="4355" width="3.28515625" style="414" customWidth="1"/>
    <col min="4356" max="4356" width="8.140625" style="414" customWidth="1"/>
    <col min="4357" max="4360" width="3.28515625" style="414" customWidth="1"/>
    <col min="4361" max="4361" width="6.28515625" style="414" customWidth="1"/>
    <col min="4362" max="4367" width="3.28515625" style="414" customWidth="1"/>
    <col min="4368" max="4368" width="3.7109375" style="414" customWidth="1"/>
    <col min="4369" max="4369" width="3.28515625" style="414" customWidth="1"/>
    <col min="4370" max="4370" width="4.85546875" style="414" customWidth="1"/>
    <col min="4371" max="4371" width="10.140625" style="414" customWidth="1"/>
    <col min="4372" max="4372" width="4.28515625" style="414" customWidth="1"/>
    <col min="4373" max="4373" width="3.28515625" style="414" customWidth="1"/>
    <col min="4374" max="4374" width="12.85546875" style="414" customWidth="1"/>
    <col min="4375" max="4375" width="18.28515625" style="414" customWidth="1"/>
    <col min="4376" max="4608" width="11.42578125" style="414"/>
    <col min="4609" max="4611" width="3.28515625" style="414" customWidth="1"/>
    <col min="4612" max="4612" width="8.140625" style="414" customWidth="1"/>
    <col min="4613" max="4616" width="3.28515625" style="414" customWidth="1"/>
    <col min="4617" max="4617" width="6.28515625" style="414" customWidth="1"/>
    <col min="4618" max="4623" width="3.28515625" style="414" customWidth="1"/>
    <col min="4624" max="4624" width="3.7109375" style="414" customWidth="1"/>
    <col min="4625" max="4625" width="3.28515625" style="414" customWidth="1"/>
    <col min="4626" max="4626" width="4.85546875" style="414" customWidth="1"/>
    <col min="4627" max="4627" width="10.140625" style="414" customWidth="1"/>
    <col min="4628" max="4628" width="4.28515625" style="414" customWidth="1"/>
    <col min="4629" max="4629" width="3.28515625" style="414" customWidth="1"/>
    <col min="4630" max="4630" width="12.85546875" style="414" customWidth="1"/>
    <col min="4631" max="4631" width="18.28515625" style="414" customWidth="1"/>
    <col min="4632" max="4864" width="11.42578125" style="414"/>
    <col min="4865" max="4867" width="3.28515625" style="414" customWidth="1"/>
    <col min="4868" max="4868" width="8.140625" style="414" customWidth="1"/>
    <col min="4869" max="4872" width="3.28515625" style="414" customWidth="1"/>
    <col min="4873" max="4873" width="6.28515625" style="414" customWidth="1"/>
    <col min="4874" max="4879" width="3.28515625" style="414" customWidth="1"/>
    <col min="4880" max="4880" width="3.7109375" style="414" customWidth="1"/>
    <col min="4881" max="4881" width="3.28515625" style="414" customWidth="1"/>
    <col min="4882" max="4882" width="4.85546875" style="414" customWidth="1"/>
    <col min="4883" max="4883" width="10.140625" style="414" customWidth="1"/>
    <col min="4884" max="4884" width="4.28515625" style="414" customWidth="1"/>
    <col min="4885" max="4885" width="3.28515625" style="414" customWidth="1"/>
    <col min="4886" max="4886" width="12.85546875" style="414" customWidth="1"/>
    <col min="4887" max="4887" width="18.28515625" style="414" customWidth="1"/>
    <col min="4888" max="5120" width="11.42578125" style="414"/>
    <col min="5121" max="5123" width="3.28515625" style="414" customWidth="1"/>
    <col min="5124" max="5124" width="8.140625" style="414" customWidth="1"/>
    <col min="5125" max="5128" width="3.28515625" style="414" customWidth="1"/>
    <col min="5129" max="5129" width="6.28515625" style="414" customWidth="1"/>
    <col min="5130" max="5135" width="3.28515625" style="414" customWidth="1"/>
    <col min="5136" max="5136" width="3.7109375" style="414" customWidth="1"/>
    <col min="5137" max="5137" width="3.28515625" style="414" customWidth="1"/>
    <col min="5138" max="5138" width="4.85546875" style="414" customWidth="1"/>
    <col min="5139" max="5139" width="10.140625" style="414" customWidth="1"/>
    <col min="5140" max="5140" width="4.28515625" style="414" customWidth="1"/>
    <col min="5141" max="5141" width="3.28515625" style="414" customWidth="1"/>
    <col min="5142" max="5142" width="12.85546875" style="414" customWidth="1"/>
    <col min="5143" max="5143" width="18.28515625" style="414" customWidth="1"/>
    <col min="5144" max="5376" width="11.42578125" style="414"/>
    <col min="5377" max="5379" width="3.28515625" style="414" customWidth="1"/>
    <col min="5380" max="5380" width="8.140625" style="414" customWidth="1"/>
    <col min="5381" max="5384" width="3.28515625" style="414" customWidth="1"/>
    <col min="5385" max="5385" width="6.28515625" style="414" customWidth="1"/>
    <col min="5386" max="5391" width="3.28515625" style="414" customWidth="1"/>
    <col min="5392" max="5392" width="3.7109375" style="414" customWidth="1"/>
    <col min="5393" max="5393" width="3.28515625" style="414" customWidth="1"/>
    <col min="5394" max="5394" width="4.85546875" style="414" customWidth="1"/>
    <col min="5395" max="5395" width="10.140625" style="414" customWidth="1"/>
    <col min="5396" max="5396" width="4.28515625" style="414" customWidth="1"/>
    <col min="5397" max="5397" width="3.28515625" style="414" customWidth="1"/>
    <col min="5398" max="5398" width="12.85546875" style="414" customWidth="1"/>
    <col min="5399" max="5399" width="18.28515625" style="414" customWidth="1"/>
    <col min="5400" max="5632" width="11.42578125" style="414"/>
    <col min="5633" max="5635" width="3.28515625" style="414" customWidth="1"/>
    <col min="5636" max="5636" width="8.140625" style="414" customWidth="1"/>
    <col min="5637" max="5640" width="3.28515625" style="414" customWidth="1"/>
    <col min="5641" max="5641" width="6.28515625" style="414" customWidth="1"/>
    <col min="5642" max="5647" width="3.28515625" style="414" customWidth="1"/>
    <col min="5648" max="5648" width="3.7109375" style="414" customWidth="1"/>
    <col min="5649" max="5649" width="3.28515625" style="414" customWidth="1"/>
    <col min="5650" max="5650" width="4.85546875" style="414" customWidth="1"/>
    <col min="5651" max="5651" width="10.140625" style="414" customWidth="1"/>
    <col min="5652" max="5652" width="4.28515625" style="414" customWidth="1"/>
    <col min="5653" max="5653" width="3.28515625" style="414" customWidth="1"/>
    <col min="5654" max="5654" width="12.85546875" style="414" customWidth="1"/>
    <col min="5655" max="5655" width="18.28515625" style="414" customWidth="1"/>
    <col min="5656" max="5888" width="11.42578125" style="414"/>
    <col min="5889" max="5891" width="3.28515625" style="414" customWidth="1"/>
    <col min="5892" max="5892" width="8.140625" style="414" customWidth="1"/>
    <col min="5893" max="5896" width="3.28515625" style="414" customWidth="1"/>
    <col min="5897" max="5897" width="6.28515625" style="414" customWidth="1"/>
    <col min="5898" max="5903" width="3.28515625" style="414" customWidth="1"/>
    <col min="5904" max="5904" width="3.7109375" style="414" customWidth="1"/>
    <col min="5905" max="5905" width="3.28515625" style="414" customWidth="1"/>
    <col min="5906" max="5906" width="4.85546875" style="414" customWidth="1"/>
    <col min="5907" max="5907" width="10.140625" style="414" customWidth="1"/>
    <col min="5908" max="5908" width="4.28515625" style="414" customWidth="1"/>
    <col min="5909" max="5909" width="3.28515625" style="414" customWidth="1"/>
    <col min="5910" max="5910" width="12.85546875" style="414" customWidth="1"/>
    <col min="5911" max="5911" width="18.28515625" style="414" customWidth="1"/>
    <col min="5912" max="6144" width="11.42578125" style="414"/>
    <col min="6145" max="6147" width="3.28515625" style="414" customWidth="1"/>
    <col min="6148" max="6148" width="8.140625" style="414" customWidth="1"/>
    <col min="6149" max="6152" width="3.28515625" style="414" customWidth="1"/>
    <col min="6153" max="6153" width="6.28515625" style="414" customWidth="1"/>
    <col min="6154" max="6159" width="3.28515625" style="414" customWidth="1"/>
    <col min="6160" max="6160" width="3.7109375" style="414" customWidth="1"/>
    <col min="6161" max="6161" width="3.28515625" style="414" customWidth="1"/>
    <col min="6162" max="6162" width="4.85546875" style="414" customWidth="1"/>
    <col min="6163" max="6163" width="10.140625" style="414" customWidth="1"/>
    <col min="6164" max="6164" width="4.28515625" style="414" customWidth="1"/>
    <col min="6165" max="6165" width="3.28515625" style="414" customWidth="1"/>
    <col min="6166" max="6166" width="12.85546875" style="414" customWidth="1"/>
    <col min="6167" max="6167" width="18.28515625" style="414" customWidth="1"/>
    <col min="6168" max="6400" width="11.42578125" style="414"/>
    <col min="6401" max="6403" width="3.28515625" style="414" customWidth="1"/>
    <col min="6404" max="6404" width="8.140625" style="414" customWidth="1"/>
    <col min="6405" max="6408" width="3.28515625" style="414" customWidth="1"/>
    <col min="6409" max="6409" width="6.28515625" style="414" customWidth="1"/>
    <col min="6410" max="6415" width="3.28515625" style="414" customWidth="1"/>
    <col min="6416" max="6416" width="3.7109375" style="414" customWidth="1"/>
    <col min="6417" max="6417" width="3.28515625" style="414" customWidth="1"/>
    <col min="6418" max="6418" width="4.85546875" style="414" customWidth="1"/>
    <col min="6419" max="6419" width="10.140625" style="414" customWidth="1"/>
    <col min="6420" max="6420" width="4.28515625" style="414" customWidth="1"/>
    <col min="6421" max="6421" width="3.28515625" style="414" customWidth="1"/>
    <col min="6422" max="6422" width="12.85546875" style="414" customWidth="1"/>
    <col min="6423" max="6423" width="18.28515625" style="414" customWidth="1"/>
    <col min="6424" max="6656" width="11.42578125" style="414"/>
    <col min="6657" max="6659" width="3.28515625" style="414" customWidth="1"/>
    <col min="6660" max="6660" width="8.140625" style="414" customWidth="1"/>
    <col min="6661" max="6664" width="3.28515625" style="414" customWidth="1"/>
    <col min="6665" max="6665" width="6.28515625" style="414" customWidth="1"/>
    <col min="6666" max="6671" width="3.28515625" style="414" customWidth="1"/>
    <col min="6672" max="6672" width="3.7109375" style="414" customWidth="1"/>
    <col min="6673" max="6673" width="3.28515625" style="414" customWidth="1"/>
    <col min="6674" max="6674" width="4.85546875" style="414" customWidth="1"/>
    <col min="6675" max="6675" width="10.140625" style="414" customWidth="1"/>
    <col min="6676" max="6676" width="4.28515625" style="414" customWidth="1"/>
    <col min="6677" max="6677" width="3.28515625" style="414" customWidth="1"/>
    <col min="6678" max="6678" width="12.85546875" style="414" customWidth="1"/>
    <col min="6679" max="6679" width="18.28515625" style="414" customWidth="1"/>
    <col min="6680" max="6912" width="11.42578125" style="414"/>
    <col min="6913" max="6915" width="3.28515625" style="414" customWidth="1"/>
    <col min="6916" max="6916" width="8.140625" style="414" customWidth="1"/>
    <col min="6917" max="6920" width="3.28515625" style="414" customWidth="1"/>
    <col min="6921" max="6921" width="6.28515625" style="414" customWidth="1"/>
    <col min="6922" max="6927" width="3.28515625" style="414" customWidth="1"/>
    <col min="6928" max="6928" width="3.7109375" style="414" customWidth="1"/>
    <col min="6929" max="6929" width="3.28515625" style="414" customWidth="1"/>
    <col min="6930" max="6930" width="4.85546875" style="414" customWidth="1"/>
    <col min="6931" max="6931" width="10.140625" style="414" customWidth="1"/>
    <col min="6932" max="6932" width="4.28515625" style="414" customWidth="1"/>
    <col min="6933" max="6933" width="3.28515625" style="414" customWidth="1"/>
    <col min="6934" max="6934" width="12.85546875" style="414" customWidth="1"/>
    <col min="6935" max="6935" width="18.28515625" style="414" customWidth="1"/>
    <col min="6936" max="7168" width="11.42578125" style="414"/>
    <col min="7169" max="7171" width="3.28515625" style="414" customWidth="1"/>
    <col min="7172" max="7172" width="8.140625" style="414" customWidth="1"/>
    <col min="7173" max="7176" width="3.28515625" style="414" customWidth="1"/>
    <col min="7177" max="7177" width="6.28515625" style="414" customWidth="1"/>
    <col min="7178" max="7183" width="3.28515625" style="414" customWidth="1"/>
    <col min="7184" max="7184" width="3.7109375" style="414" customWidth="1"/>
    <col min="7185" max="7185" width="3.28515625" style="414" customWidth="1"/>
    <col min="7186" max="7186" width="4.85546875" style="414" customWidth="1"/>
    <col min="7187" max="7187" width="10.140625" style="414" customWidth="1"/>
    <col min="7188" max="7188" width="4.28515625" style="414" customWidth="1"/>
    <col min="7189" max="7189" width="3.28515625" style="414" customWidth="1"/>
    <col min="7190" max="7190" width="12.85546875" style="414" customWidth="1"/>
    <col min="7191" max="7191" width="18.28515625" style="414" customWidth="1"/>
    <col min="7192" max="7424" width="11.42578125" style="414"/>
    <col min="7425" max="7427" width="3.28515625" style="414" customWidth="1"/>
    <col min="7428" max="7428" width="8.140625" style="414" customWidth="1"/>
    <col min="7429" max="7432" width="3.28515625" style="414" customWidth="1"/>
    <col min="7433" max="7433" width="6.28515625" style="414" customWidth="1"/>
    <col min="7434" max="7439" width="3.28515625" style="414" customWidth="1"/>
    <col min="7440" max="7440" width="3.7109375" style="414" customWidth="1"/>
    <col min="7441" max="7441" width="3.28515625" style="414" customWidth="1"/>
    <col min="7442" max="7442" width="4.85546875" style="414" customWidth="1"/>
    <col min="7443" max="7443" width="10.140625" style="414" customWidth="1"/>
    <col min="7444" max="7444" width="4.28515625" style="414" customWidth="1"/>
    <col min="7445" max="7445" width="3.28515625" style="414" customWidth="1"/>
    <col min="7446" max="7446" width="12.85546875" style="414" customWidth="1"/>
    <col min="7447" max="7447" width="18.28515625" style="414" customWidth="1"/>
    <col min="7448" max="7680" width="11.42578125" style="414"/>
    <col min="7681" max="7683" width="3.28515625" style="414" customWidth="1"/>
    <col min="7684" max="7684" width="8.140625" style="414" customWidth="1"/>
    <col min="7685" max="7688" width="3.28515625" style="414" customWidth="1"/>
    <col min="7689" max="7689" width="6.28515625" style="414" customWidth="1"/>
    <col min="7690" max="7695" width="3.28515625" style="414" customWidth="1"/>
    <col min="7696" max="7696" width="3.7109375" style="414" customWidth="1"/>
    <col min="7697" max="7697" width="3.28515625" style="414" customWidth="1"/>
    <col min="7698" max="7698" width="4.85546875" style="414" customWidth="1"/>
    <col min="7699" max="7699" width="10.140625" style="414" customWidth="1"/>
    <col min="7700" max="7700" width="4.28515625" style="414" customWidth="1"/>
    <col min="7701" max="7701" width="3.28515625" style="414" customWidth="1"/>
    <col min="7702" max="7702" width="12.85546875" style="414" customWidth="1"/>
    <col min="7703" max="7703" width="18.28515625" style="414" customWidth="1"/>
    <col min="7704" max="7936" width="11.42578125" style="414"/>
    <col min="7937" max="7939" width="3.28515625" style="414" customWidth="1"/>
    <col min="7940" max="7940" width="8.140625" style="414" customWidth="1"/>
    <col min="7941" max="7944" width="3.28515625" style="414" customWidth="1"/>
    <col min="7945" max="7945" width="6.28515625" style="414" customWidth="1"/>
    <col min="7946" max="7951" width="3.28515625" style="414" customWidth="1"/>
    <col min="7952" max="7952" width="3.7109375" style="414" customWidth="1"/>
    <col min="7953" max="7953" width="3.28515625" style="414" customWidth="1"/>
    <col min="7954" max="7954" width="4.85546875" style="414" customWidth="1"/>
    <col min="7955" max="7955" width="10.140625" style="414" customWidth="1"/>
    <col min="7956" max="7956" width="4.28515625" style="414" customWidth="1"/>
    <col min="7957" max="7957" width="3.28515625" style="414" customWidth="1"/>
    <col min="7958" max="7958" width="12.85546875" style="414" customWidth="1"/>
    <col min="7959" max="7959" width="18.28515625" style="414" customWidth="1"/>
    <col min="7960" max="8192" width="11.42578125" style="414"/>
    <col min="8193" max="8195" width="3.28515625" style="414" customWidth="1"/>
    <col min="8196" max="8196" width="8.140625" style="414" customWidth="1"/>
    <col min="8197" max="8200" width="3.28515625" style="414" customWidth="1"/>
    <col min="8201" max="8201" width="6.28515625" style="414" customWidth="1"/>
    <col min="8202" max="8207" width="3.28515625" style="414" customWidth="1"/>
    <col min="8208" max="8208" width="3.7109375" style="414" customWidth="1"/>
    <col min="8209" max="8209" width="3.28515625" style="414" customWidth="1"/>
    <col min="8210" max="8210" width="4.85546875" style="414" customWidth="1"/>
    <col min="8211" max="8211" width="10.140625" style="414" customWidth="1"/>
    <col min="8212" max="8212" width="4.28515625" style="414" customWidth="1"/>
    <col min="8213" max="8213" width="3.28515625" style="414" customWidth="1"/>
    <col min="8214" max="8214" width="12.85546875" style="414" customWidth="1"/>
    <col min="8215" max="8215" width="18.28515625" style="414" customWidth="1"/>
    <col min="8216" max="8448" width="11.42578125" style="414"/>
    <col min="8449" max="8451" width="3.28515625" style="414" customWidth="1"/>
    <col min="8452" max="8452" width="8.140625" style="414" customWidth="1"/>
    <col min="8453" max="8456" width="3.28515625" style="414" customWidth="1"/>
    <col min="8457" max="8457" width="6.28515625" style="414" customWidth="1"/>
    <col min="8458" max="8463" width="3.28515625" style="414" customWidth="1"/>
    <col min="8464" max="8464" width="3.7109375" style="414" customWidth="1"/>
    <col min="8465" max="8465" width="3.28515625" style="414" customWidth="1"/>
    <col min="8466" max="8466" width="4.85546875" style="414" customWidth="1"/>
    <col min="8467" max="8467" width="10.140625" style="414" customWidth="1"/>
    <col min="8468" max="8468" width="4.28515625" style="414" customWidth="1"/>
    <col min="8469" max="8469" width="3.28515625" style="414" customWidth="1"/>
    <col min="8470" max="8470" width="12.85546875" style="414" customWidth="1"/>
    <col min="8471" max="8471" width="18.28515625" style="414" customWidth="1"/>
    <col min="8472" max="8704" width="11.42578125" style="414"/>
    <col min="8705" max="8707" width="3.28515625" style="414" customWidth="1"/>
    <col min="8708" max="8708" width="8.140625" style="414" customWidth="1"/>
    <col min="8709" max="8712" width="3.28515625" style="414" customWidth="1"/>
    <col min="8713" max="8713" width="6.28515625" style="414" customWidth="1"/>
    <col min="8714" max="8719" width="3.28515625" style="414" customWidth="1"/>
    <col min="8720" max="8720" width="3.7109375" style="414" customWidth="1"/>
    <col min="8721" max="8721" width="3.28515625" style="414" customWidth="1"/>
    <col min="8722" max="8722" width="4.85546875" style="414" customWidth="1"/>
    <col min="8723" max="8723" width="10.140625" style="414" customWidth="1"/>
    <col min="8724" max="8724" width="4.28515625" style="414" customWidth="1"/>
    <col min="8725" max="8725" width="3.28515625" style="414" customWidth="1"/>
    <col min="8726" max="8726" width="12.85546875" style="414" customWidth="1"/>
    <col min="8727" max="8727" width="18.28515625" style="414" customWidth="1"/>
    <col min="8728" max="8960" width="11.42578125" style="414"/>
    <col min="8961" max="8963" width="3.28515625" style="414" customWidth="1"/>
    <col min="8964" max="8964" width="8.140625" style="414" customWidth="1"/>
    <col min="8965" max="8968" width="3.28515625" style="414" customWidth="1"/>
    <col min="8969" max="8969" width="6.28515625" style="414" customWidth="1"/>
    <col min="8970" max="8975" width="3.28515625" style="414" customWidth="1"/>
    <col min="8976" max="8976" width="3.7109375" style="414" customWidth="1"/>
    <col min="8977" max="8977" width="3.28515625" style="414" customWidth="1"/>
    <col min="8978" max="8978" width="4.85546875" style="414" customWidth="1"/>
    <col min="8979" max="8979" width="10.140625" style="414" customWidth="1"/>
    <col min="8980" max="8980" width="4.28515625" style="414" customWidth="1"/>
    <col min="8981" max="8981" width="3.28515625" style="414" customWidth="1"/>
    <col min="8982" max="8982" width="12.85546875" style="414" customWidth="1"/>
    <col min="8983" max="8983" width="18.28515625" style="414" customWidth="1"/>
    <col min="8984" max="9216" width="11.42578125" style="414"/>
    <col min="9217" max="9219" width="3.28515625" style="414" customWidth="1"/>
    <col min="9220" max="9220" width="8.140625" style="414" customWidth="1"/>
    <col min="9221" max="9224" width="3.28515625" style="414" customWidth="1"/>
    <col min="9225" max="9225" width="6.28515625" style="414" customWidth="1"/>
    <col min="9226" max="9231" width="3.28515625" style="414" customWidth="1"/>
    <col min="9232" max="9232" width="3.7109375" style="414" customWidth="1"/>
    <col min="9233" max="9233" width="3.28515625" style="414" customWidth="1"/>
    <col min="9234" max="9234" width="4.85546875" style="414" customWidth="1"/>
    <col min="9235" max="9235" width="10.140625" style="414" customWidth="1"/>
    <col min="9236" max="9236" width="4.28515625" style="414" customWidth="1"/>
    <col min="9237" max="9237" width="3.28515625" style="414" customWidth="1"/>
    <col min="9238" max="9238" width="12.85546875" style="414" customWidth="1"/>
    <col min="9239" max="9239" width="18.28515625" style="414" customWidth="1"/>
    <col min="9240" max="9472" width="11.42578125" style="414"/>
    <col min="9473" max="9475" width="3.28515625" style="414" customWidth="1"/>
    <col min="9476" max="9476" width="8.140625" style="414" customWidth="1"/>
    <col min="9477" max="9480" width="3.28515625" style="414" customWidth="1"/>
    <col min="9481" max="9481" width="6.28515625" style="414" customWidth="1"/>
    <col min="9482" max="9487" width="3.28515625" style="414" customWidth="1"/>
    <col min="9488" max="9488" width="3.7109375" style="414" customWidth="1"/>
    <col min="9489" max="9489" width="3.28515625" style="414" customWidth="1"/>
    <col min="9490" max="9490" width="4.85546875" style="414" customWidth="1"/>
    <col min="9491" max="9491" width="10.140625" style="414" customWidth="1"/>
    <col min="9492" max="9492" width="4.28515625" style="414" customWidth="1"/>
    <col min="9493" max="9493" width="3.28515625" style="414" customWidth="1"/>
    <col min="9494" max="9494" width="12.85546875" style="414" customWidth="1"/>
    <col min="9495" max="9495" width="18.28515625" style="414" customWidth="1"/>
    <col min="9496" max="9728" width="11.42578125" style="414"/>
    <col min="9729" max="9731" width="3.28515625" style="414" customWidth="1"/>
    <col min="9732" max="9732" width="8.140625" style="414" customWidth="1"/>
    <col min="9733" max="9736" width="3.28515625" style="414" customWidth="1"/>
    <col min="9737" max="9737" width="6.28515625" style="414" customWidth="1"/>
    <col min="9738" max="9743" width="3.28515625" style="414" customWidth="1"/>
    <col min="9744" max="9744" width="3.7109375" style="414" customWidth="1"/>
    <col min="9745" max="9745" width="3.28515625" style="414" customWidth="1"/>
    <col min="9746" max="9746" width="4.85546875" style="414" customWidth="1"/>
    <col min="9747" max="9747" width="10.140625" style="414" customWidth="1"/>
    <col min="9748" max="9748" width="4.28515625" style="414" customWidth="1"/>
    <col min="9749" max="9749" width="3.28515625" style="414" customWidth="1"/>
    <col min="9750" max="9750" width="12.85546875" style="414" customWidth="1"/>
    <col min="9751" max="9751" width="18.28515625" style="414" customWidth="1"/>
    <col min="9752" max="9984" width="11.42578125" style="414"/>
    <col min="9985" max="9987" width="3.28515625" style="414" customWidth="1"/>
    <col min="9988" max="9988" width="8.140625" style="414" customWidth="1"/>
    <col min="9989" max="9992" width="3.28515625" style="414" customWidth="1"/>
    <col min="9993" max="9993" width="6.28515625" style="414" customWidth="1"/>
    <col min="9994" max="9999" width="3.28515625" style="414" customWidth="1"/>
    <col min="10000" max="10000" width="3.7109375" style="414" customWidth="1"/>
    <col min="10001" max="10001" width="3.28515625" style="414" customWidth="1"/>
    <col min="10002" max="10002" width="4.85546875" style="414" customWidth="1"/>
    <col min="10003" max="10003" width="10.140625" style="414" customWidth="1"/>
    <col min="10004" max="10004" width="4.28515625" style="414" customWidth="1"/>
    <col min="10005" max="10005" width="3.28515625" style="414" customWidth="1"/>
    <col min="10006" max="10006" width="12.85546875" style="414" customWidth="1"/>
    <col min="10007" max="10007" width="18.28515625" style="414" customWidth="1"/>
    <col min="10008" max="10240" width="11.42578125" style="414"/>
    <col min="10241" max="10243" width="3.28515625" style="414" customWidth="1"/>
    <col min="10244" max="10244" width="8.140625" style="414" customWidth="1"/>
    <col min="10245" max="10248" width="3.28515625" style="414" customWidth="1"/>
    <col min="10249" max="10249" width="6.28515625" style="414" customWidth="1"/>
    <col min="10250" max="10255" width="3.28515625" style="414" customWidth="1"/>
    <col min="10256" max="10256" width="3.7109375" style="414" customWidth="1"/>
    <col min="10257" max="10257" width="3.28515625" style="414" customWidth="1"/>
    <col min="10258" max="10258" width="4.85546875" style="414" customWidth="1"/>
    <col min="10259" max="10259" width="10.140625" style="414" customWidth="1"/>
    <col min="10260" max="10260" width="4.28515625" style="414" customWidth="1"/>
    <col min="10261" max="10261" width="3.28515625" style="414" customWidth="1"/>
    <col min="10262" max="10262" width="12.85546875" style="414" customWidth="1"/>
    <col min="10263" max="10263" width="18.28515625" style="414" customWidth="1"/>
    <col min="10264" max="10496" width="11.42578125" style="414"/>
    <col min="10497" max="10499" width="3.28515625" style="414" customWidth="1"/>
    <col min="10500" max="10500" width="8.140625" style="414" customWidth="1"/>
    <col min="10501" max="10504" width="3.28515625" style="414" customWidth="1"/>
    <col min="10505" max="10505" width="6.28515625" style="414" customWidth="1"/>
    <col min="10506" max="10511" width="3.28515625" style="414" customWidth="1"/>
    <col min="10512" max="10512" width="3.7109375" style="414" customWidth="1"/>
    <col min="10513" max="10513" width="3.28515625" style="414" customWidth="1"/>
    <col min="10514" max="10514" width="4.85546875" style="414" customWidth="1"/>
    <col min="10515" max="10515" width="10.140625" style="414" customWidth="1"/>
    <col min="10516" max="10516" width="4.28515625" style="414" customWidth="1"/>
    <col min="10517" max="10517" width="3.28515625" style="414" customWidth="1"/>
    <col min="10518" max="10518" width="12.85546875" style="414" customWidth="1"/>
    <col min="10519" max="10519" width="18.28515625" style="414" customWidth="1"/>
    <col min="10520" max="10752" width="11.42578125" style="414"/>
    <col min="10753" max="10755" width="3.28515625" style="414" customWidth="1"/>
    <col min="10756" max="10756" width="8.140625" style="414" customWidth="1"/>
    <col min="10757" max="10760" width="3.28515625" style="414" customWidth="1"/>
    <col min="10761" max="10761" width="6.28515625" style="414" customWidth="1"/>
    <col min="10762" max="10767" width="3.28515625" style="414" customWidth="1"/>
    <col min="10768" max="10768" width="3.7109375" style="414" customWidth="1"/>
    <col min="10769" max="10769" width="3.28515625" style="414" customWidth="1"/>
    <col min="10770" max="10770" width="4.85546875" style="414" customWidth="1"/>
    <col min="10771" max="10771" width="10.140625" style="414" customWidth="1"/>
    <col min="10772" max="10772" width="4.28515625" style="414" customWidth="1"/>
    <col min="10773" max="10773" width="3.28515625" style="414" customWidth="1"/>
    <col min="10774" max="10774" width="12.85546875" style="414" customWidth="1"/>
    <col min="10775" max="10775" width="18.28515625" style="414" customWidth="1"/>
    <col min="10776" max="11008" width="11.42578125" style="414"/>
    <col min="11009" max="11011" width="3.28515625" style="414" customWidth="1"/>
    <col min="11012" max="11012" width="8.140625" style="414" customWidth="1"/>
    <col min="11013" max="11016" width="3.28515625" style="414" customWidth="1"/>
    <col min="11017" max="11017" width="6.28515625" style="414" customWidth="1"/>
    <col min="11018" max="11023" width="3.28515625" style="414" customWidth="1"/>
    <col min="11024" max="11024" width="3.7109375" style="414" customWidth="1"/>
    <col min="11025" max="11025" width="3.28515625" style="414" customWidth="1"/>
    <col min="11026" max="11026" width="4.85546875" style="414" customWidth="1"/>
    <col min="11027" max="11027" width="10.140625" style="414" customWidth="1"/>
    <col min="11028" max="11028" width="4.28515625" style="414" customWidth="1"/>
    <col min="11029" max="11029" width="3.28515625" style="414" customWidth="1"/>
    <col min="11030" max="11030" width="12.85546875" style="414" customWidth="1"/>
    <col min="11031" max="11031" width="18.28515625" style="414" customWidth="1"/>
    <col min="11032" max="11264" width="11.42578125" style="414"/>
    <col min="11265" max="11267" width="3.28515625" style="414" customWidth="1"/>
    <col min="11268" max="11268" width="8.140625" style="414" customWidth="1"/>
    <col min="11269" max="11272" width="3.28515625" style="414" customWidth="1"/>
    <col min="11273" max="11273" width="6.28515625" style="414" customWidth="1"/>
    <col min="11274" max="11279" width="3.28515625" style="414" customWidth="1"/>
    <col min="11280" max="11280" width="3.7109375" style="414" customWidth="1"/>
    <col min="11281" max="11281" width="3.28515625" style="414" customWidth="1"/>
    <col min="11282" max="11282" width="4.85546875" style="414" customWidth="1"/>
    <col min="11283" max="11283" width="10.140625" style="414" customWidth="1"/>
    <col min="11284" max="11284" width="4.28515625" style="414" customWidth="1"/>
    <col min="11285" max="11285" width="3.28515625" style="414" customWidth="1"/>
    <col min="11286" max="11286" width="12.85546875" style="414" customWidth="1"/>
    <col min="11287" max="11287" width="18.28515625" style="414" customWidth="1"/>
    <col min="11288" max="11520" width="11.42578125" style="414"/>
    <col min="11521" max="11523" width="3.28515625" style="414" customWidth="1"/>
    <col min="11524" max="11524" width="8.140625" style="414" customWidth="1"/>
    <col min="11525" max="11528" width="3.28515625" style="414" customWidth="1"/>
    <col min="11529" max="11529" width="6.28515625" style="414" customWidth="1"/>
    <col min="11530" max="11535" width="3.28515625" style="414" customWidth="1"/>
    <col min="11536" max="11536" width="3.7109375" style="414" customWidth="1"/>
    <col min="11537" max="11537" width="3.28515625" style="414" customWidth="1"/>
    <col min="11538" max="11538" width="4.85546875" style="414" customWidth="1"/>
    <col min="11539" max="11539" width="10.140625" style="414" customWidth="1"/>
    <col min="11540" max="11540" width="4.28515625" style="414" customWidth="1"/>
    <col min="11541" max="11541" width="3.28515625" style="414" customWidth="1"/>
    <col min="11542" max="11542" width="12.85546875" style="414" customWidth="1"/>
    <col min="11543" max="11543" width="18.28515625" style="414" customWidth="1"/>
    <col min="11544" max="11776" width="11.42578125" style="414"/>
    <col min="11777" max="11779" width="3.28515625" style="414" customWidth="1"/>
    <col min="11780" max="11780" width="8.140625" style="414" customWidth="1"/>
    <col min="11781" max="11784" width="3.28515625" style="414" customWidth="1"/>
    <col min="11785" max="11785" width="6.28515625" style="414" customWidth="1"/>
    <col min="11786" max="11791" width="3.28515625" style="414" customWidth="1"/>
    <col min="11792" max="11792" width="3.7109375" style="414" customWidth="1"/>
    <col min="11793" max="11793" width="3.28515625" style="414" customWidth="1"/>
    <col min="11794" max="11794" width="4.85546875" style="414" customWidth="1"/>
    <col min="11795" max="11795" width="10.140625" style="414" customWidth="1"/>
    <col min="11796" max="11796" width="4.28515625" style="414" customWidth="1"/>
    <col min="11797" max="11797" width="3.28515625" style="414" customWidth="1"/>
    <col min="11798" max="11798" width="12.85546875" style="414" customWidth="1"/>
    <col min="11799" max="11799" width="18.28515625" style="414" customWidth="1"/>
    <col min="11800" max="12032" width="11.42578125" style="414"/>
    <col min="12033" max="12035" width="3.28515625" style="414" customWidth="1"/>
    <col min="12036" max="12036" width="8.140625" style="414" customWidth="1"/>
    <col min="12037" max="12040" width="3.28515625" style="414" customWidth="1"/>
    <col min="12041" max="12041" width="6.28515625" style="414" customWidth="1"/>
    <col min="12042" max="12047" width="3.28515625" style="414" customWidth="1"/>
    <col min="12048" max="12048" width="3.7109375" style="414" customWidth="1"/>
    <col min="12049" max="12049" width="3.28515625" style="414" customWidth="1"/>
    <col min="12050" max="12050" width="4.85546875" style="414" customWidth="1"/>
    <col min="12051" max="12051" width="10.140625" style="414" customWidth="1"/>
    <col min="12052" max="12052" width="4.28515625" style="414" customWidth="1"/>
    <col min="12053" max="12053" width="3.28515625" style="414" customWidth="1"/>
    <col min="12054" max="12054" width="12.85546875" style="414" customWidth="1"/>
    <col min="12055" max="12055" width="18.28515625" style="414" customWidth="1"/>
    <col min="12056" max="12288" width="11.42578125" style="414"/>
    <col min="12289" max="12291" width="3.28515625" style="414" customWidth="1"/>
    <col min="12292" max="12292" width="8.140625" style="414" customWidth="1"/>
    <col min="12293" max="12296" width="3.28515625" style="414" customWidth="1"/>
    <col min="12297" max="12297" width="6.28515625" style="414" customWidth="1"/>
    <col min="12298" max="12303" width="3.28515625" style="414" customWidth="1"/>
    <col min="12304" max="12304" width="3.7109375" style="414" customWidth="1"/>
    <col min="12305" max="12305" width="3.28515625" style="414" customWidth="1"/>
    <col min="12306" max="12306" width="4.85546875" style="414" customWidth="1"/>
    <col min="12307" max="12307" width="10.140625" style="414" customWidth="1"/>
    <col min="12308" max="12308" width="4.28515625" style="414" customWidth="1"/>
    <col min="12309" max="12309" width="3.28515625" style="414" customWidth="1"/>
    <col min="12310" max="12310" width="12.85546875" style="414" customWidth="1"/>
    <col min="12311" max="12311" width="18.28515625" style="414" customWidth="1"/>
    <col min="12312" max="12544" width="11.42578125" style="414"/>
    <col min="12545" max="12547" width="3.28515625" style="414" customWidth="1"/>
    <col min="12548" max="12548" width="8.140625" style="414" customWidth="1"/>
    <col min="12549" max="12552" width="3.28515625" style="414" customWidth="1"/>
    <col min="12553" max="12553" width="6.28515625" style="414" customWidth="1"/>
    <col min="12554" max="12559" width="3.28515625" style="414" customWidth="1"/>
    <col min="12560" max="12560" width="3.7109375" style="414" customWidth="1"/>
    <col min="12561" max="12561" width="3.28515625" style="414" customWidth="1"/>
    <col min="12562" max="12562" width="4.85546875" style="414" customWidth="1"/>
    <col min="12563" max="12563" width="10.140625" style="414" customWidth="1"/>
    <col min="12564" max="12564" width="4.28515625" style="414" customWidth="1"/>
    <col min="12565" max="12565" width="3.28515625" style="414" customWidth="1"/>
    <col min="12566" max="12566" width="12.85546875" style="414" customWidth="1"/>
    <col min="12567" max="12567" width="18.28515625" style="414" customWidth="1"/>
    <col min="12568" max="12800" width="11.42578125" style="414"/>
    <col min="12801" max="12803" width="3.28515625" style="414" customWidth="1"/>
    <col min="12804" max="12804" width="8.140625" style="414" customWidth="1"/>
    <col min="12805" max="12808" width="3.28515625" style="414" customWidth="1"/>
    <col min="12809" max="12809" width="6.28515625" style="414" customWidth="1"/>
    <col min="12810" max="12815" width="3.28515625" style="414" customWidth="1"/>
    <col min="12816" max="12816" width="3.7109375" style="414" customWidth="1"/>
    <col min="12817" max="12817" width="3.28515625" style="414" customWidth="1"/>
    <col min="12818" max="12818" width="4.85546875" style="414" customWidth="1"/>
    <col min="12819" max="12819" width="10.140625" style="414" customWidth="1"/>
    <col min="12820" max="12820" width="4.28515625" style="414" customWidth="1"/>
    <col min="12821" max="12821" width="3.28515625" style="414" customWidth="1"/>
    <col min="12822" max="12822" width="12.85546875" style="414" customWidth="1"/>
    <col min="12823" max="12823" width="18.28515625" style="414" customWidth="1"/>
    <col min="12824" max="13056" width="11.42578125" style="414"/>
    <col min="13057" max="13059" width="3.28515625" style="414" customWidth="1"/>
    <col min="13060" max="13060" width="8.140625" style="414" customWidth="1"/>
    <col min="13061" max="13064" width="3.28515625" style="414" customWidth="1"/>
    <col min="13065" max="13065" width="6.28515625" style="414" customWidth="1"/>
    <col min="13066" max="13071" width="3.28515625" style="414" customWidth="1"/>
    <col min="13072" max="13072" width="3.7109375" style="414" customWidth="1"/>
    <col min="13073" max="13073" width="3.28515625" style="414" customWidth="1"/>
    <col min="13074" max="13074" width="4.85546875" style="414" customWidth="1"/>
    <col min="13075" max="13075" width="10.140625" style="414" customWidth="1"/>
    <col min="13076" max="13076" width="4.28515625" style="414" customWidth="1"/>
    <col min="13077" max="13077" width="3.28515625" style="414" customWidth="1"/>
    <col min="13078" max="13078" width="12.85546875" style="414" customWidth="1"/>
    <col min="13079" max="13079" width="18.28515625" style="414" customWidth="1"/>
    <col min="13080" max="13312" width="11.42578125" style="414"/>
    <col min="13313" max="13315" width="3.28515625" style="414" customWidth="1"/>
    <col min="13316" max="13316" width="8.140625" style="414" customWidth="1"/>
    <col min="13317" max="13320" width="3.28515625" style="414" customWidth="1"/>
    <col min="13321" max="13321" width="6.28515625" style="414" customWidth="1"/>
    <col min="13322" max="13327" width="3.28515625" style="414" customWidth="1"/>
    <col min="13328" max="13328" width="3.7109375" style="414" customWidth="1"/>
    <col min="13329" max="13329" width="3.28515625" style="414" customWidth="1"/>
    <col min="13330" max="13330" width="4.85546875" style="414" customWidth="1"/>
    <col min="13331" max="13331" width="10.140625" style="414" customWidth="1"/>
    <col min="13332" max="13332" width="4.28515625" style="414" customWidth="1"/>
    <col min="13333" max="13333" width="3.28515625" style="414" customWidth="1"/>
    <col min="13334" max="13334" width="12.85546875" style="414" customWidth="1"/>
    <col min="13335" max="13335" width="18.28515625" style="414" customWidth="1"/>
    <col min="13336" max="13568" width="11.42578125" style="414"/>
    <col min="13569" max="13571" width="3.28515625" style="414" customWidth="1"/>
    <col min="13572" max="13572" width="8.140625" style="414" customWidth="1"/>
    <col min="13573" max="13576" width="3.28515625" style="414" customWidth="1"/>
    <col min="13577" max="13577" width="6.28515625" style="414" customWidth="1"/>
    <col min="13578" max="13583" width="3.28515625" style="414" customWidth="1"/>
    <col min="13584" max="13584" width="3.7109375" style="414" customWidth="1"/>
    <col min="13585" max="13585" width="3.28515625" style="414" customWidth="1"/>
    <col min="13586" max="13586" width="4.85546875" style="414" customWidth="1"/>
    <col min="13587" max="13587" width="10.140625" style="414" customWidth="1"/>
    <col min="13588" max="13588" width="4.28515625" style="414" customWidth="1"/>
    <col min="13589" max="13589" width="3.28515625" style="414" customWidth="1"/>
    <col min="13590" max="13590" width="12.85546875" style="414" customWidth="1"/>
    <col min="13591" max="13591" width="18.28515625" style="414" customWidth="1"/>
    <col min="13592" max="13824" width="11.42578125" style="414"/>
    <col min="13825" max="13827" width="3.28515625" style="414" customWidth="1"/>
    <col min="13828" max="13828" width="8.140625" style="414" customWidth="1"/>
    <col min="13829" max="13832" width="3.28515625" style="414" customWidth="1"/>
    <col min="13833" max="13833" width="6.28515625" style="414" customWidth="1"/>
    <col min="13834" max="13839" width="3.28515625" style="414" customWidth="1"/>
    <col min="13840" max="13840" width="3.7109375" style="414" customWidth="1"/>
    <col min="13841" max="13841" width="3.28515625" style="414" customWidth="1"/>
    <col min="13842" max="13842" width="4.85546875" style="414" customWidth="1"/>
    <col min="13843" max="13843" width="10.140625" style="414" customWidth="1"/>
    <col min="13844" max="13844" width="4.28515625" style="414" customWidth="1"/>
    <col min="13845" max="13845" width="3.28515625" style="414" customWidth="1"/>
    <col min="13846" max="13846" width="12.85546875" style="414" customWidth="1"/>
    <col min="13847" max="13847" width="18.28515625" style="414" customWidth="1"/>
    <col min="13848" max="14080" width="11.42578125" style="414"/>
    <col min="14081" max="14083" width="3.28515625" style="414" customWidth="1"/>
    <col min="14084" max="14084" width="8.140625" style="414" customWidth="1"/>
    <col min="14085" max="14088" width="3.28515625" style="414" customWidth="1"/>
    <col min="14089" max="14089" width="6.28515625" style="414" customWidth="1"/>
    <col min="14090" max="14095" width="3.28515625" style="414" customWidth="1"/>
    <col min="14096" max="14096" width="3.7109375" style="414" customWidth="1"/>
    <col min="14097" max="14097" width="3.28515625" style="414" customWidth="1"/>
    <col min="14098" max="14098" width="4.85546875" style="414" customWidth="1"/>
    <col min="14099" max="14099" width="10.140625" style="414" customWidth="1"/>
    <col min="14100" max="14100" width="4.28515625" style="414" customWidth="1"/>
    <col min="14101" max="14101" width="3.28515625" style="414" customWidth="1"/>
    <col min="14102" max="14102" width="12.85546875" style="414" customWidth="1"/>
    <col min="14103" max="14103" width="18.28515625" style="414" customWidth="1"/>
    <col min="14104" max="14336" width="11.42578125" style="414"/>
    <col min="14337" max="14339" width="3.28515625" style="414" customWidth="1"/>
    <col min="14340" max="14340" width="8.140625" style="414" customWidth="1"/>
    <col min="14341" max="14344" width="3.28515625" style="414" customWidth="1"/>
    <col min="14345" max="14345" width="6.28515625" style="414" customWidth="1"/>
    <col min="14346" max="14351" width="3.28515625" style="414" customWidth="1"/>
    <col min="14352" max="14352" width="3.7109375" style="414" customWidth="1"/>
    <col min="14353" max="14353" width="3.28515625" style="414" customWidth="1"/>
    <col min="14354" max="14354" width="4.85546875" style="414" customWidth="1"/>
    <col min="14355" max="14355" width="10.140625" style="414" customWidth="1"/>
    <col min="14356" max="14356" width="4.28515625" style="414" customWidth="1"/>
    <col min="14357" max="14357" width="3.28515625" style="414" customWidth="1"/>
    <col min="14358" max="14358" width="12.85546875" style="414" customWidth="1"/>
    <col min="14359" max="14359" width="18.28515625" style="414" customWidth="1"/>
    <col min="14360" max="14592" width="11.42578125" style="414"/>
    <col min="14593" max="14595" width="3.28515625" style="414" customWidth="1"/>
    <col min="14596" max="14596" width="8.140625" style="414" customWidth="1"/>
    <col min="14597" max="14600" width="3.28515625" style="414" customWidth="1"/>
    <col min="14601" max="14601" width="6.28515625" style="414" customWidth="1"/>
    <col min="14602" max="14607" width="3.28515625" style="414" customWidth="1"/>
    <col min="14608" max="14608" width="3.7109375" style="414" customWidth="1"/>
    <col min="14609" max="14609" width="3.28515625" style="414" customWidth="1"/>
    <col min="14610" max="14610" width="4.85546875" style="414" customWidth="1"/>
    <col min="14611" max="14611" width="10.140625" style="414" customWidth="1"/>
    <col min="14612" max="14612" width="4.28515625" style="414" customWidth="1"/>
    <col min="14613" max="14613" width="3.28515625" style="414" customWidth="1"/>
    <col min="14614" max="14614" width="12.85546875" style="414" customWidth="1"/>
    <col min="14615" max="14615" width="18.28515625" style="414" customWidth="1"/>
    <col min="14616" max="14848" width="11.42578125" style="414"/>
    <col min="14849" max="14851" width="3.28515625" style="414" customWidth="1"/>
    <col min="14852" max="14852" width="8.140625" style="414" customWidth="1"/>
    <col min="14853" max="14856" width="3.28515625" style="414" customWidth="1"/>
    <col min="14857" max="14857" width="6.28515625" style="414" customWidth="1"/>
    <col min="14858" max="14863" width="3.28515625" style="414" customWidth="1"/>
    <col min="14864" max="14864" width="3.7109375" style="414" customWidth="1"/>
    <col min="14865" max="14865" width="3.28515625" style="414" customWidth="1"/>
    <col min="14866" max="14866" width="4.85546875" style="414" customWidth="1"/>
    <col min="14867" max="14867" width="10.140625" style="414" customWidth="1"/>
    <col min="14868" max="14868" width="4.28515625" style="414" customWidth="1"/>
    <col min="14869" max="14869" width="3.28515625" style="414" customWidth="1"/>
    <col min="14870" max="14870" width="12.85546875" style="414" customWidth="1"/>
    <col min="14871" max="14871" width="18.28515625" style="414" customWidth="1"/>
    <col min="14872" max="15104" width="11.42578125" style="414"/>
    <col min="15105" max="15107" width="3.28515625" style="414" customWidth="1"/>
    <col min="15108" max="15108" width="8.140625" style="414" customWidth="1"/>
    <col min="15109" max="15112" width="3.28515625" style="414" customWidth="1"/>
    <col min="15113" max="15113" width="6.28515625" style="414" customWidth="1"/>
    <col min="15114" max="15119" width="3.28515625" style="414" customWidth="1"/>
    <col min="15120" max="15120" width="3.7109375" style="414" customWidth="1"/>
    <col min="15121" max="15121" width="3.28515625" style="414" customWidth="1"/>
    <col min="15122" max="15122" width="4.85546875" style="414" customWidth="1"/>
    <col min="15123" max="15123" width="10.140625" style="414" customWidth="1"/>
    <col min="15124" max="15124" width="4.28515625" style="414" customWidth="1"/>
    <col min="15125" max="15125" width="3.28515625" style="414" customWidth="1"/>
    <col min="15126" max="15126" width="12.85546875" style="414" customWidth="1"/>
    <col min="15127" max="15127" width="18.28515625" style="414" customWidth="1"/>
    <col min="15128" max="15360" width="11.42578125" style="414"/>
    <col min="15361" max="15363" width="3.28515625" style="414" customWidth="1"/>
    <col min="15364" max="15364" width="8.140625" style="414" customWidth="1"/>
    <col min="15365" max="15368" width="3.28515625" style="414" customWidth="1"/>
    <col min="15369" max="15369" width="6.28515625" style="414" customWidth="1"/>
    <col min="15370" max="15375" width="3.28515625" style="414" customWidth="1"/>
    <col min="15376" max="15376" width="3.7109375" style="414" customWidth="1"/>
    <col min="15377" max="15377" width="3.28515625" style="414" customWidth="1"/>
    <col min="15378" max="15378" width="4.85546875" style="414" customWidth="1"/>
    <col min="15379" max="15379" width="10.140625" style="414" customWidth="1"/>
    <col min="15380" max="15380" width="4.28515625" style="414" customWidth="1"/>
    <col min="15381" max="15381" width="3.28515625" style="414" customWidth="1"/>
    <col min="15382" max="15382" width="12.85546875" style="414" customWidth="1"/>
    <col min="15383" max="15383" width="18.28515625" style="414" customWidth="1"/>
    <col min="15384" max="15616" width="11.42578125" style="414"/>
    <col min="15617" max="15619" width="3.28515625" style="414" customWidth="1"/>
    <col min="15620" max="15620" width="8.140625" style="414" customWidth="1"/>
    <col min="15621" max="15624" width="3.28515625" style="414" customWidth="1"/>
    <col min="15625" max="15625" width="6.28515625" style="414" customWidth="1"/>
    <col min="15626" max="15631" width="3.28515625" style="414" customWidth="1"/>
    <col min="15632" max="15632" width="3.7109375" style="414" customWidth="1"/>
    <col min="15633" max="15633" width="3.28515625" style="414" customWidth="1"/>
    <col min="15634" max="15634" width="4.85546875" style="414" customWidth="1"/>
    <col min="15635" max="15635" width="10.140625" style="414" customWidth="1"/>
    <col min="15636" max="15636" width="4.28515625" style="414" customWidth="1"/>
    <col min="15637" max="15637" width="3.28515625" style="414" customWidth="1"/>
    <col min="15638" max="15638" width="12.85546875" style="414" customWidth="1"/>
    <col min="15639" max="15639" width="18.28515625" style="414" customWidth="1"/>
    <col min="15640" max="15872" width="11.42578125" style="414"/>
    <col min="15873" max="15875" width="3.28515625" style="414" customWidth="1"/>
    <col min="15876" max="15876" width="8.140625" style="414" customWidth="1"/>
    <col min="15877" max="15880" width="3.28515625" style="414" customWidth="1"/>
    <col min="15881" max="15881" width="6.28515625" style="414" customWidth="1"/>
    <col min="15882" max="15887" width="3.28515625" style="414" customWidth="1"/>
    <col min="15888" max="15888" width="3.7109375" style="414" customWidth="1"/>
    <col min="15889" max="15889" width="3.28515625" style="414" customWidth="1"/>
    <col min="15890" max="15890" width="4.85546875" style="414" customWidth="1"/>
    <col min="15891" max="15891" width="10.140625" style="414" customWidth="1"/>
    <col min="15892" max="15892" width="4.28515625" style="414" customWidth="1"/>
    <col min="15893" max="15893" width="3.28515625" style="414" customWidth="1"/>
    <col min="15894" max="15894" width="12.85546875" style="414" customWidth="1"/>
    <col min="15895" max="15895" width="18.28515625" style="414" customWidth="1"/>
    <col min="15896" max="16128" width="11.42578125" style="414"/>
    <col min="16129" max="16131" width="3.28515625" style="414" customWidth="1"/>
    <col min="16132" max="16132" width="8.140625" style="414" customWidth="1"/>
    <col min="16133" max="16136" width="3.28515625" style="414" customWidth="1"/>
    <col min="16137" max="16137" width="6.28515625" style="414" customWidth="1"/>
    <col min="16138" max="16143" width="3.28515625" style="414" customWidth="1"/>
    <col min="16144" max="16144" width="3.7109375" style="414" customWidth="1"/>
    <col min="16145" max="16145" width="3.28515625" style="414" customWidth="1"/>
    <col min="16146" max="16146" width="4.85546875" style="414" customWidth="1"/>
    <col min="16147" max="16147" width="10.140625" style="414" customWidth="1"/>
    <col min="16148" max="16148" width="4.28515625" style="414" customWidth="1"/>
    <col min="16149" max="16149" width="3.28515625" style="414" customWidth="1"/>
    <col min="16150" max="16150" width="12.85546875" style="414" customWidth="1"/>
    <col min="16151" max="16151" width="18.28515625" style="414" customWidth="1"/>
    <col min="16152" max="16384" width="11.42578125" style="414"/>
  </cols>
  <sheetData>
    <row r="1" spans="1:23" ht="24.6" customHeight="1">
      <c r="A1" s="408"/>
      <c r="B1" s="409"/>
      <c r="C1" s="409"/>
      <c r="D1" s="409"/>
      <c r="E1" s="410"/>
      <c r="F1" s="409"/>
      <c r="G1" s="411"/>
      <c r="H1" s="1188" t="s">
        <v>395</v>
      </c>
      <c r="I1" s="1189"/>
      <c r="J1" s="1189"/>
      <c r="K1" s="1189"/>
      <c r="L1" s="1189"/>
      <c r="M1" s="1189"/>
      <c r="N1" s="1189"/>
      <c r="O1" s="1189"/>
      <c r="P1" s="1189"/>
      <c r="Q1" s="1189"/>
      <c r="R1" s="1189"/>
      <c r="S1" s="1190"/>
      <c r="T1" s="1191" t="s">
        <v>396</v>
      </c>
      <c r="U1" s="1192"/>
      <c r="V1" s="412"/>
      <c r="W1" s="413" t="s">
        <v>1134</v>
      </c>
    </row>
    <row r="2" spans="1:23" ht="24.6" customHeight="1">
      <c r="A2" s="408"/>
      <c r="B2" s="409"/>
      <c r="C2" s="409"/>
      <c r="D2" s="409"/>
      <c r="E2" s="410"/>
      <c r="F2" s="409"/>
      <c r="G2" s="411"/>
      <c r="H2" s="1188"/>
      <c r="I2" s="1189"/>
      <c r="J2" s="1189"/>
      <c r="K2" s="1189"/>
      <c r="L2" s="1189"/>
      <c r="M2" s="1189"/>
      <c r="N2" s="1189"/>
      <c r="O2" s="1189"/>
      <c r="P2" s="1189"/>
      <c r="Q2" s="1189"/>
      <c r="R2" s="1189"/>
      <c r="S2" s="1190"/>
      <c r="T2" s="1193" t="s">
        <v>397</v>
      </c>
      <c r="U2" s="1194"/>
      <c r="V2" s="1195"/>
      <c r="W2" s="413" t="s">
        <v>248</v>
      </c>
    </row>
    <row r="3" spans="1:23" ht="24.6" customHeight="1">
      <c r="A3" s="408"/>
      <c r="B3" s="409"/>
      <c r="C3" s="409"/>
      <c r="D3" s="409"/>
      <c r="E3" s="410"/>
      <c r="F3" s="409"/>
      <c r="G3" s="411"/>
      <c r="H3" s="1196" t="s">
        <v>398</v>
      </c>
      <c r="I3" s="1197"/>
      <c r="J3" s="1197"/>
      <c r="K3" s="1197"/>
      <c r="L3" s="1197"/>
      <c r="M3" s="1197"/>
      <c r="N3" s="1197"/>
      <c r="O3" s="1197"/>
      <c r="P3" s="1197"/>
      <c r="Q3" s="1197"/>
      <c r="R3" s="1197"/>
      <c r="S3" s="1198"/>
      <c r="T3" s="1193" t="s">
        <v>399</v>
      </c>
      <c r="U3" s="1194"/>
      <c r="V3" s="1195"/>
      <c r="W3" s="415">
        <v>42705</v>
      </c>
    </row>
    <row r="4" spans="1:23" s="417" customFormat="1" ht="42.75" customHeight="1">
      <c r="A4" s="416"/>
      <c r="B4" s="1185" t="s">
        <v>429</v>
      </c>
      <c r="C4" s="1186"/>
      <c r="D4" s="1186"/>
      <c r="E4" s="1186"/>
      <c r="F4" s="1186"/>
      <c r="G4" s="1186"/>
      <c r="H4" s="1186"/>
      <c r="I4" s="1186"/>
      <c r="J4" s="1186"/>
      <c r="K4" s="1186"/>
      <c r="L4" s="1186"/>
      <c r="M4" s="1186"/>
      <c r="N4" s="1186"/>
      <c r="O4" s="1186"/>
      <c r="P4" s="1186"/>
      <c r="Q4" s="1186"/>
      <c r="R4" s="1186"/>
      <c r="S4" s="1186"/>
      <c r="T4" s="1186"/>
      <c r="U4" s="1186"/>
      <c r="V4" s="1186"/>
      <c r="W4" s="1187"/>
    </row>
    <row r="5" spans="1:23" s="417" customFormat="1" ht="28.5" customHeight="1">
      <c r="A5" s="418" t="s">
        <v>94</v>
      </c>
      <c r="B5" s="419"/>
      <c r="C5" s="419"/>
      <c r="D5" s="419"/>
      <c r="E5" s="1201" t="s">
        <v>400</v>
      </c>
      <c r="F5" s="1201"/>
      <c r="G5" s="1201"/>
      <c r="H5" s="1201"/>
      <c r="I5" s="1201"/>
      <c r="J5" s="1201"/>
      <c r="K5" s="1201"/>
      <c r="L5" s="1201"/>
      <c r="M5" s="1201"/>
      <c r="N5" s="1201"/>
      <c r="O5" s="1201"/>
      <c r="P5" s="1201"/>
      <c r="Q5" s="1201"/>
      <c r="R5" s="1201"/>
      <c r="S5" s="1201"/>
      <c r="T5" s="1201"/>
      <c r="U5" s="1201"/>
      <c r="V5" s="1201"/>
      <c r="W5" s="1202"/>
    </row>
    <row r="6" spans="1:23" s="417" customFormat="1" ht="25.5" customHeight="1">
      <c r="A6" s="420" t="s">
        <v>4</v>
      </c>
      <c r="B6" s="421"/>
      <c r="C6" s="421"/>
      <c r="D6" s="421"/>
      <c r="E6" s="422">
        <f>+DATOS!G16</f>
        <v>0</v>
      </c>
      <c r="F6" s="423"/>
      <c r="G6" s="423"/>
      <c r="H6" s="423"/>
      <c r="I6" s="423"/>
      <c r="J6" s="423"/>
      <c r="K6" s="423"/>
      <c r="L6" s="423"/>
      <c r="M6" s="423"/>
      <c r="N6" s="423"/>
      <c r="O6" s="423"/>
      <c r="P6" s="423"/>
      <c r="Q6" s="423"/>
      <c r="R6" s="423"/>
      <c r="S6" s="423"/>
      <c r="T6" s="423"/>
      <c r="U6" s="423"/>
      <c r="V6" s="423"/>
      <c r="W6" s="424"/>
    </row>
    <row r="7" spans="1:23" s="417" customFormat="1" ht="24.75" customHeight="1">
      <c r="A7" s="420" t="s">
        <v>401</v>
      </c>
      <c r="B7" s="421"/>
      <c r="C7" s="421"/>
      <c r="D7" s="421"/>
      <c r="E7" s="422">
        <f>+DATOS!G24</f>
        <v>0</v>
      </c>
      <c r="F7" s="423"/>
      <c r="G7" s="423"/>
      <c r="H7" s="423"/>
      <c r="I7" s="423"/>
      <c r="J7" s="423"/>
      <c r="K7" s="423"/>
      <c r="L7" s="423"/>
      <c r="M7" s="423"/>
      <c r="N7" s="423"/>
      <c r="O7" s="423"/>
      <c r="P7" s="423"/>
      <c r="Q7" s="423"/>
      <c r="R7" s="423"/>
      <c r="S7" s="423"/>
      <c r="T7" s="423"/>
      <c r="U7" s="423"/>
      <c r="V7" s="423"/>
      <c r="W7" s="424"/>
    </row>
    <row r="8" spans="1:23" s="429" customFormat="1" ht="9.6" customHeight="1">
      <c r="A8" s="425"/>
      <c r="B8" s="426"/>
      <c r="C8" s="426"/>
      <c r="D8" s="426"/>
      <c r="E8" s="427"/>
      <c r="F8" s="426"/>
      <c r="G8" s="426"/>
      <c r="H8" s="426"/>
      <c r="I8" s="426"/>
      <c r="J8" s="426"/>
      <c r="K8" s="426"/>
      <c r="L8" s="426"/>
      <c r="M8" s="426"/>
      <c r="N8" s="426"/>
      <c r="O8" s="426"/>
      <c r="P8" s="426"/>
      <c r="Q8" s="426"/>
      <c r="R8" s="426"/>
      <c r="S8" s="426"/>
      <c r="T8" s="426"/>
      <c r="U8" s="426"/>
      <c r="V8" s="426"/>
      <c r="W8" s="428"/>
    </row>
    <row r="9" spans="1:23" s="429" customFormat="1" ht="11.45" customHeight="1">
      <c r="A9" s="1203" t="s">
        <v>8</v>
      </c>
      <c r="B9" s="1204"/>
      <c r="C9" s="1204"/>
      <c r="D9" s="1204"/>
      <c r="E9" s="1205">
        <f>+DATOS!E38</f>
        <v>0</v>
      </c>
      <c r="F9" s="1205"/>
      <c r="G9" s="1205"/>
      <c r="H9" s="1205"/>
      <c r="I9" s="1205"/>
      <c r="J9" s="1205"/>
      <c r="K9" s="1205"/>
      <c r="L9" s="1205"/>
      <c r="M9" s="1205"/>
      <c r="N9" s="1205"/>
      <c r="O9" s="1205"/>
      <c r="P9" s="1205"/>
      <c r="Q9" s="1205"/>
      <c r="R9" s="1205"/>
      <c r="S9" s="1205"/>
      <c r="T9" s="1205"/>
      <c r="U9" s="1205"/>
      <c r="V9" s="1205"/>
      <c r="W9" s="1206"/>
    </row>
    <row r="10" spans="1:23" s="429" customFormat="1" ht="12" customHeight="1">
      <c r="A10" s="1203"/>
      <c r="B10" s="1204"/>
      <c r="C10" s="1204"/>
      <c r="D10" s="1204"/>
      <c r="E10" s="1205"/>
      <c r="F10" s="1205"/>
      <c r="G10" s="1205"/>
      <c r="H10" s="1205"/>
      <c r="I10" s="1205"/>
      <c r="J10" s="1205"/>
      <c r="K10" s="1205"/>
      <c r="L10" s="1205"/>
      <c r="M10" s="1205"/>
      <c r="N10" s="1205"/>
      <c r="O10" s="1205"/>
      <c r="P10" s="1205"/>
      <c r="Q10" s="1205"/>
      <c r="R10" s="1205"/>
      <c r="S10" s="1205"/>
      <c r="T10" s="1205"/>
      <c r="U10" s="1205"/>
      <c r="V10" s="1205"/>
      <c r="W10" s="1206"/>
    </row>
    <row r="11" spans="1:23" s="429" customFormat="1" ht="5.45" hidden="1" customHeight="1">
      <c r="A11" s="1203"/>
      <c r="B11" s="1204"/>
      <c r="C11" s="1204"/>
      <c r="D11" s="1204"/>
      <c r="E11" s="1205"/>
      <c r="F11" s="1205"/>
      <c r="G11" s="1205"/>
      <c r="H11" s="1205"/>
      <c r="I11" s="1205"/>
      <c r="J11" s="1205"/>
      <c r="K11" s="1205"/>
      <c r="L11" s="1205"/>
      <c r="M11" s="1205"/>
      <c r="N11" s="1205"/>
      <c r="O11" s="1205"/>
      <c r="P11" s="1205"/>
      <c r="Q11" s="1205"/>
      <c r="R11" s="1205"/>
      <c r="S11" s="1205"/>
      <c r="T11" s="1205"/>
      <c r="U11" s="1205"/>
      <c r="V11" s="1205"/>
      <c r="W11" s="1206"/>
    </row>
    <row r="12" spans="1:23" s="429" customFormat="1" ht="0.6" customHeight="1">
      <c r="A12" s="430"/>
      <c r="B12" s="431"/>
      <c r="C12" s="431"/>
      <c r="D12" s="431"/>
      <c r="E12" s="432"/>
      <c r="F12" s="433"/>
      <c r="G12" s="433"/>
      <c r="H12" s="433"/>
      <c r="I12" s="433"/>
      <c r="J12" s="433"/>
      <c r="K12" s="433"/>
      <c r="L12" s="433"/>
      <c r="M12" s="433"/>
      <c r="N12" s="433"/>
      <c r="O12" s="433"/>
      <c r="P12" s="433"/>
      <c r="Q12" s="433"/>
      <c r="R12" s="433"/>
      <c r="S12" s="433"/>
      <c r="T12" s="433"/>
      <c r="U12" s="433"/>
      <c r="V12" s="433"/>
      <c r="W12" s="434"/>
    </row>
    <row r="13" spans="1:23" s="429" customFormat="1" ht="17.100000000000001" customHeight="1">
      <c r="A13" s="1207" t="s">
        <v>402</v>
      </c>
      <c r="B13" s="1208"/>
      <c r="C13" s="1208"/>
      <c r="D13" s="1208"/>
      <c r="E13" s="1208"/>
      <c r="F13" s="1208"/>
      <c r="G13" s="1208"/>
      <c r="H13" s="1208"/>
      <c r="I13" s="1209"/>
      <c r="J13" s="425" t="s">
        <v>403</v>
      </c>
      <c r="K13" s="426"/>
      <c r="L13" s="426"/>
      <c r="M13" s="426"/>
      <c r="N13" s="426"/>
      <c r="O13" s="426"/>
      <c r="P13" s="426"/>
      <c r="Q13" s="426"/>
      <c r="R13" s="426"/>
      <c r="S13" s="426"/>
      <c r="T13" s="426"/>
      <c r="U13" s="426"/>
      <c r="V13" s="426"/>
      <c r="W13" s="428"/>
    </row>
    <row r="14" spans="1:23" s="429" customFormat="1" ht="17.100000000000001" customHeight="1">
      <c r="A14" s="1210"/>
      <c r="B14" s="1211"/>
      <c r="C14" s="1211"/>
      <c r="D14" s="1211"/>
      <c r="E14" s="1211"/>
      <c r="F14" s="1211"/>
      <c r="G14" s="1211"/>
      <c r="H14" s="1211"/>
      <c r="I14" s="1212"/>
      <c r="J14" s="435" t="s">
        <v>404</v>
      </c>
      <c r="K14" s="436"/>
      <c r="L14" s="436"/>
      <c r="M14" s="431"/>
      <c r="N14" s="437"/>
      <c r="O14" s="437"/>
      <c r="P14" s="437"/>
      <c r="Q14" s="437"/>
      <c r="R14" s="437"/>
      <c r="S14" s="1213"/>
      <c r="T14" s="1213"/>
      <c r="U14" s="1213"/>
      <c r="V14" s="1213"/>
      <c r="W14" s="1214"/>
    </row>
    <row r="15" spans="1:23" s="429" customFormat="1" ht="17.100000000000001" customHeight="1">
      <c r="A15" s="1210"/>
      <c r="B15" s="1211"/>
      <c r="C15" s="1211"/>
      <c r="D15" s="1211"/>
      <c r="E15" s="1211"/>
      <c r="F15" s="1211"/>
      <c r="G15" s="1211"/>
      <c r="H15" s="1211"/>
      <c r="I15" s="1212"/>
      <c r="J15" s="435" t="s">
        <v>405</v>
      </c>
      <c r="K15" s="436"/>
      <c r="L15" s="436"/>
      <c r="M15" s="431"/>
      <c r="N15" s="437"/>
      <c r="O15" s="437"/>
      <c r="P15" s="437"/>
      <c r="Q15" s="437"/>
      <c r="R15" s="437"/>
      <c r="S15" s="1213"/>
      <c r="T15" s="1213"/>
      <c r="U15" s="1213"/>
      <c r="V15" s="1213"/>
      <c r="W15" s="1214"/>
    </row>
    <row r="16" spans="1:23" s="429" customFormat="1" ht="17.100000000000001" customHeight="1">
      <c r="A16" s="1210"/>
      <c r="B16" s="1211"/>
      <c r="C16" s="1211"/>
      <c r="D16" s="1211"/>
      <c r="E16" s="1211"/>
      <c r="F16" s="1211"/>
      <c r="G16" s="1211"/>
      <c r="H16" s="1211"/>
      <c r="I16" s="1212"/>
      <c r="J16" s="435" t="s">
        <v>406</v>
      </c>
      <c r="K16" s="436"/>
      <c r="L16" s="436"/>
      <c r="M16" s="431"/>
      <c r="N16" s="437"/>
      <c r="O16" s="437"/>
      <c r="P16" s="437"/>
      <c r="Q16" s="437"/>
      <c r="R16" s="437"/>
      <c r="S16" s="1213">
        <f>+S15+S14</f>
        <v>0</v>
      </c>
      <c r="T16" s="1213"/>
      <c r="U16" s="1213"/>
      <c r="V16" s="1213"/>
      <c r="W16" s="1214"/>
    </row>
    <row r="17" spans="1:23" s="429" customFormat="1" ht="17.100000000000001" customHeight="1">
      <c r="A17" s="1210"/>
      <c r="B17" s="1211"/>
      <c r="C17" s="1211"/>
      <c r="D17" s="1211"/>
      <c r="E17" s="1211"/>
      <c r="F17" s="1211"/>
      <c r="G17" s="1211"/>
      <c r="H17" s="1211"/>
      <c r="I17" s="1212"/>
      <c r="J17" s="435" t="s">
        <v>407</v>
      </c>
      <c r="K17" s="436"/>
      <c r="L17" s="436"/>
      <c r="M17" s="431"/>
      <c r="N17" s="437"/>
      <c r="O17" s="437"/>
      <c r="P17" s="437"/>
      <c r="Q17" s="437"/>
      <c r="R17" s="437"/>
      <c r="S17" s="1213"/>
      <c r="T17" s="1213"/>
      <c r="U17" s="1213"/>
      <c r="V17" s="1213"/>
      <c r="W17" s="1214"/>
    </row>
    <row r="18" spans="1:23" s="429" customFormat="1" ht="17.100000000000001" customHeight="1">
      <c r="A18" s="1210"/>
      <c r="B18" s="1211"/>
      <c r="C18" s="1211"/>
      <c r="D18" s="1211"/>
      <c r="E18" s="1211"/>
      <c r="F18" s="1211"/>
      <c r="G18" s="1211"/>
      <c r="H18" s="1211"/>
      <c r="I18" s="1212"/>
      <c r="J18" s="435" t="s">
        <v>408</v>
      </c>
      <c r="K18" s="436"/>
      <c r="L18" s="436"/>
      <c r="M18" s="431"/>
      <c r="N18" s="431"/>
      <c r="O18" s="431"/>
      <c r="P18" s="431"/>
      <c r="Q18" s="431"/>
      <c r="R18" s="437"/>
      <c r="S18" s="1213">
        <v>191150000</v>
      </c>
      <c r="T18" s="1213"/>
      <c r="U18" s="1213"/>
      <c r="V18" s="1213"/>
      <c r="W18" s="1214"/>
    </row>
    <row r="19" spans="1:23" s="429" customFormat="1" ht="17.100000000000001" customHeight="1">
      <c r="A19" s="1210"/>
      <c r="B19" s="1211"/>
      <c r="C19" s="1211"/>
      <c r="D19" s="1211"/>
      <c r="E19" s="1211"/>
      <c r="F19" s="1211"/>
      <c r="G19" s="1211"/>
      <c r="H19" s="1211"/>
      <c r="I19" s="1212"/>
      <c r="J19" s="435" t="s">
        <v>405</v>
      </c>
      <c r="K19" s="436"/>
      <c r="L19" s="436"/>
      <c r="M19" s="431"/>
      <c r="N19" s="431"/>
      <c r="O19" s="431"/>
      <c r="P19" s="431"/>
      <c r="Q19" s="431"/>
      <c r="R19" s="437"/>
      <c r="S19" s="1213">
        <v>13305000</v>
      </c>
      <c r="T19" s="1213"/>
      <c r="U19" s="1213"/>
      <c r="V19" s="1213"/>
      <c r="W19" s="1214"/>
    </row>
    <row r="20" spans="1:23" s="429" customFormat="1" ht="17.100000000000001" customHeight="1">
      <c r="A20" s="1210"/>
      <c r="B20" s="1211"/>
      <c r="C20" s="1211"/>
      <c r="D20" s="1211"/>
      <c r="E20" s="1211"/>
      <c r="F20" s="1211"/>
      <c r="G20" s="1211"/>
      <c r="H20" s="1211"/>
      <c r="I20" s="1212"/>
      <c r="J20" s="435" t="s">
        <v>406</v>
      </c>
      <c r="K20" s="436"/>
      <c r="L20" s="436"/>
      <c r="M20" s="431"/>
      <c r="N20" s="431"/>
      <c r="O20" s="431"/>
      <c r="P20" s="431"/>
      <c r="Q20" s="431"/>
      <c r="R20" s="437"/>
      <c r="S20" s="1213">
        <f>S18+S19</f>
        <v>204455000</v>
      </c>
      <c r="T20" s="1213"/>
      <c r="U20" s="1213"/>
      <c r="V20" s="1213"/>
      <c r="W20" s="1214"/>
    </row>
    <row r="21" spans="1:23" s="429" customFormat="1" ht="17.100000000000001" customHeight="1">
      <c r="A21" s="1210"/>
      <c r="B21" s="1211"/>
      <c r="C21" s="1211"/>
      <c r="D21" s="1211"/>
      <c r="E21" s="1211"/>
      <c r="F21" s="1211"/>
      <c r="G21" s="1211"/>
      <c r="H21" s="1211"/>
      <c r="I21" s="1212"/>
      <c r="J21" s="435" t="s">
        <v>407</v>
      </c>
      <c r="K21" s="436"/>
      <c r="L21" s="436"/>
      <c r="M21" s="431"/>
      <c r="N21" s="431"/>
      <c r="O21" s="431"/>
      <c r="P21" s="431"/>
      <c r="Q21" s="431"/>
      <c r="R21" s="437"/>
      <c r="S21" s="1213">
        <v>0</v>
      </c>
      <c r="T21" s="1213"/>
      <c r="U21" s="1213"/>
      <c r="V21" s="1213"/>
      <c r="W21" s="1214"/>
    </row>
    <row r="22" spans="1:23" s="429" customFormat="1" ht="17.100000000000001" customHeight="1">
      <c r="A22" s="1210"/>
      <c r="B22" s="1211"/>
      <c r="C22" s="1211"/>
      <c r="D22" s="1211"/>
      <c r="E22" s="1211"/>
      <c r="F22" s="1211"/>
      <c r="G22" s="1211"/>
      <c r="H22" s="1211"/>
      <c r="I22" s="1212"/>
      <c r="J22" s="430" t="s">
        <v>409</v>
      </c>
      <c r="K22" s="436"/>
      <c r="L22" s="436"/>
      <c r="M22" s="431"/>
      <c r="N22" s="431"/>
      <c r="O22" s="431"/>
      <c r="P22" s="431"/>
      <c r="Q22" s="431"/>
      <c r="R22" s="438"/>
      <c r="S22" s="1213">
        <v>0</v>
      </c>
      <c r="T22" s="1213"/>
      <c r="U22" s="1213"/>
      <c r="V22" s="1213"/>
      <c r="W22" s="1214"/>
    </row>
    <row r="23" spans="1:23" s="429" customFormat="1" ht="17.100000000000001" customHeight="1">
      <c r="A23" s="1210"/>
      <c r="B23" s="1211"/>
      <c r="C23" s="1211"/>
      <c r="D23" s="1211"/>
      <c r="E23" s="1211"/>
      <c r="F23" s="1211"/>
      <c r="G23" s="1211"/>
      <c r="H23" s="1211"/>
      <c r="I23" s="1212"/>
      <c r="J23" s="435" t="s">
        <v>405</v>
      </c>
      <c r="K23" s="436"/>
      <c r="L23" s="436"/>
      <c r="M23" s="431"/>
      <c r="N23" s="431"/>
      <c r="O23" s="431"/>
      <c r="P23" s="431"/>
      <c r="Q23" s="431"/>
      <c r="R23" s="438"/>
      <c r="S23" s="1213">
        <v>0</v>
      </c>
      <c r="T23" s="1213"/>
      <c r="U23" s="1213"/>
      <c r="V23" s="1213"/>
      <c r="W23" s="1214"/>
    </row>
    <row r="24" spans="1:23" s="429" customFormat="1" ht="17.100000000000001" customHeight="1">
      <c r="A24" s="1210"/>
      <c r="B24" s="1211"/>
      <c r="C24" s="1211"/>
      <c r="D24" s="1211"/>
      <c r="E24" s="1211"/>
      <c r="F24" s="1211"/>
      <c r="G24" s="1211"/>
      <c r="H24" s="1211"/>
      <c r="I24" s="1212"/>
      <c r="J24" s="435" t="s">
        <v>406</v>
      </c>
      <c r="K24" s="436"/>
      <c r="L24" s="436"/>
      <c r="M24" s="431"/>
      <c r="N24" s="431"/>
      <c r="O24" s="431"/>
      <c r="P24" s="431"/>
      <c r="Q24" s="431"/>
      <c r="R24" s="438"/>
      <c r="S24" s="1213">
        <v>0</v>
      </c>
      <c r="T24" s="1213"/>
      <c r="U24" s="1213"/>
      <c r="V24" s="1213"/>
      <c r="W24" s="1214"/>
    </row>
    <row r="25" spans="1:23" s="429" customFormat="1" ht="17.100000000000001" customHeight="1">
      <c r="A25" s="1210"/>
      <c r="B25" s="1211"/>
      <c r="C25" s="1211"/>
      <c r="D25" s="1211"/>
      <c r="E25" s="1211"/>
      <c r="F25" s="1211"/>
      <c r="G25" s="1211"/>
      <c r="H25" s="1211"/>
      <c r="I25" s="1212"/>
      <c r="J25" s="435" t="s">
        <v>407</v>
      </c>
      <c r="K25" s="436"/>
      <c r="L25" s="436"/>
      <c r="M25" s="431"/>
      <c r="N25" s="431"/>
      <c r="O25" s="431"/>
      <c r="P25" s="431"/>
      <c r="Q25" s="431"/>
      <c r="R25" s="438"/>
      <c r="S25" s="1199">
        <v>0</v>
      </c>
      <c r="T25" s="1199"/>
      <c r="U25" s="1199"/>
      <c r="V25" s="1199"/>
      <c r="W25" s="1200"/>
    </row>
    <row r="26" spans="1:23" s="429" customFormat="1" ht="17.100000000000001" customHeight="1">
      <c r="A26" s="430" t="s">
        <v>410</v>
      </c>
      <c r="B26" s="431"/>
      <c r="C26" s="431"/>
      <c r="D26" s="431"/>
      <c r="E26" s="439"/>
      <c r="F26" s="431"/>
      <c r="G26" s="431"/>
      <c r="H26" s="431"/>
      <c r="I26" s="431"/>
      <c r="J26" s="425" t="s">
        <v>411</v>
      </c>
      <c r="K26" s="426"/>
      <c r="L26" s="426"/>
      <c r="M26" s="426"/>
      <c r="N26" s="426"/>
      <c r="O26" s="426"/>
      <c r="P26" s="426"/>
      <c r="Q26" s="426"/>
      <c r="R26" s="426"/>
      <c r="S26" s="428"/>
      <c r="T26" s="425" t="s">
        <v>412</v>
      </c>
      <c r="U26" s="426"/>
      <c r="V26" s="426"/>
      <c r="W26" s="428"/>
    </row>
    <row r="27" spans="1:23" s="429" customFormat="1" ht="0.6" customHeight="1">
      <c r="A27" s="1218" t="s">
        <v>413</v>
      </c>
      <c r="B27" s="1219"/>
      <c r="C27" s="1219"/>
      <c r="D27" s="1219"/>
      <c r="E27" s="1219"/>
      <c r="F27" s="1219"/>
      <c r="G27" s="1219"/>
      <c r="H27" s="1219"/>
      <c r="I27" s="1219"/>
      <c r="J27" s="1222" t="s">
        <v>414</v>
      </c>
      <c r="K27" s="1223"/>
      <c r="L27" s="1223"/>
      <c r="M27" s="1223"/>
      <c r="N27" s="1223"/>
      <c r="O27" s="1223"/>
      <c r="P27" s="1223"/>
      <c r="Q27" s="1223"/>
      <c r="R27" s="1223"/>
      <c r="S27" s="1224"/>
      <c r="T27" s="1228" t="s">
        <v>415</v>
      </c>
      <c r="U27" s="1219"/>
      <c r="V27" s="1219"/>
      <c r="W27" s="1229"/>
    </row>
    <row r="28" spans="1:23" s="429" customFormat="1" ht="17.100000000000001" customHeight="1">
      <c r="A28" s="1220"/>
      <c r="B28" s="1221"/>
      <c r="C28" s="1221"/>
      <c r="D28" s="1221"/>
      <c r="E28" s="1221"/>
      <c r="F28" s="1221"/>
      <c r="G28" s="1221"/>
      <c r="H28" s="1221"/>
      <c r="I28" s="1221"/>
      <c r="J28" s="1225"/>
      <c r="K28" s="1226"/>
      <c r="L28" s="1226"/>
      <c r="M28" s="1226"/>
      <c r="N28" s="1226"/>
      <c r="O28" s="1226"/>
      <c r="P28" s="1226"/>
      <c r="Q28" s="1226"/>
      <c r="R28" s="1226"/>
      <c r="S28" s="1227"/>
      <c r="T28" s="1220"/>
      <c r="U28" s="1221"/>
      <c r="V28" s="1221"/>
      <c r="W28" s="1230"/>
    </row>
    <row r="29" spans="1:23" s="429" customFormat="1" ht="409.5" customHeight="1">
      <c r="A29" s="1231" t="s">
        <v>416</v>
      </c>
      <c r="B29" s="1232"/>
      <c r="C29" s="1232"/>
      <c r="D29" s="1232"/>
      <c r="E29" s="1232"/>
      <c r="F29" s="1232"/>
      <c r="G29" s="1232"/>
      <c r="H29" s="1232"/>
      <c r="I29" s="1232"/>
      <c r="J29" s="1232"/>
      <c r="K29" s="1232"/>
      <c r="L29" s="1232"/>
      <c r="M29" s="1232"/>
      <c r="N29" s="1232"/>
      <c r="O29" s="1232"/>
      <c r="P29" s="1232"/>
      <c r="Q29" s="1232"/>
      <c r="R29" s="1232"/>
      <c r="S29" s="1232"/>
      <c r="T29" s="1232"/>
      <c r="U29" s="1232"/>
      <c r="V29" s="1232"/>
      <c r="W29" s="1233"/>
    </row>
    <row r="30" spans="1:23" s="429" customFormat="1" ht="41.25" customHeight="1">
      <c r="A30" s="1234" t="s">
        <v>417</v>
      </c>
      <c r="B30" s="1235"/>
      <c r="C30" s="1235"/>
      <c r="D30" s="1235"/>
      <c r="E30" s="1235"/>
      <c r="F30" s="1235"/>
      <c r="G30" s="1235"/>
      <c r="H30" s="1235"/>
      <c r="I30" s="1235"/>
      <c r="J30" s="1235"/>
      <c r="K30" s="1235"/>
      <c r="L30" s="1235"/>
      <c r="M30" s="1235"/>
      <c r="N30" s="1235"/>
      <c r="O30" s="1235"/>
      <c r="P30" s="1235"/>
      <c r="Q30" s="1235"/>
      <c r="R30" s="1235"/>
      <c r="S30" s="1235"/>
      <c r="T30" s="1235"/>
      <c r="U30" s="1235"/>
      <c r="V30" s="1235"/>
      <c r="W30" s="1236"/>
    </row>
    <row r="31" spans="1:23" s="429" customFormat="1" ht="78" customHeight="1">
      <c r="A31" s="1237" t="s">
        <v>418</v>
      </c>
      <c r="B31" s="1238"/>
      <c r="C31" s="1238"/>
      <c r="D31" s="1238"/>
      <c r="E31" s="1238"/>
      <c r="F31" s="1238"/>
      <c r="G31" s="1238"/>
      <c r="H31" s="1238"/>
      <c r="I31" s="1238"/>
      <c r="J31" s="1238"/>
      <c r="K31" s="1238"/>
      <c r="L31" s="1238"/>
      <c r="M31" s="1238"/>
      <c r="N31" s="1238"/>
      <c r="O31" s="1238"/>
      <c r="P31" s="1238"/>
      <c r="Q31" s="1238"/>
      <c r="R31" s="1238"/>
      <c r="S31" s="1238"/>
      <c r="T31" s="1238"/>
      <c r="U31" s="1238"/>
      <c r="V31" s="1238"/>
      <c r="W31" s="1239"/>
    </row>
    <row r="32" spans="1:23" s="429" customFormat="1" ht="44.25" customHeight="1">
      <c r="A32" s="1240" t="s">
        <v>419</v>
      </c>
      <c r="B32" s="1241"/>
      <c r="C32" s="1241"/>
      <c r="D32" s="1241"/>
      <c r="E32" s="1241"/>
      <c r="F32" s="1241"/>
      <c r="G32" s="1241"/>
      <c r="H32" s="1241"/>
      <c r="I32" s="1241"/>
      <c r="J32" s="1241"/>
      <c r="K32" s="1241"/>
      <c r="L32" s="1241"/>
      <c r="M32" s="1241"/>
      <c r="N32" s="1241"/>
      <c r="O32" s="1241"/>
      <c r="P32" s="1241"/>
      <c r="Q32" s="1241"/>
      <c r="R32" s="1241"/>
      <c r="S32" s="1241"/>
      <c r="T32" s="1241"/>
      <c r="U32" s="1241"/>
      <c r="V32" s="1241"/>
      <c r="W32" s="1242"/>
    </row>
    <row r="33" spans="1:23" s="429" customFormat="1" ht="99" customHeight="1">
      <c r="A33" s="1240" t="s">
        <v>420</v>
      </c>
      <c r="B33" s="1241"/>
      <c r="C33" s="1241"/>
      <c r="D33" s="1241"/>
      <c r="E33" s="1241"/>
      <c r="F33" s="1241"/>
      <c r="G33" s="1241"/>
      <c r="H33" s="1241"/>
      <c r="I33" s="1241"/>
      <c r="J33" s="1241"/>
      <c r="K33" s="1241"/>
      <c r="L33" s="1241"/>
      <c r="M33" s="1241"/>
      <c r="N33" s="1241"/>
      <c r="O33" s="1241"/>
      <c r="P33" s="1241"/>
      <c r="Q33" s="1241"/>
      <c r="R33" s="1241"/>
      <c r="S33" s="1241"/>
      <c r="T33" s="1241"/>
      <c r="U33" s="1241"/>
      <c r="V33" s="1241"/>
      <c r="W33" s="1242"/>
    </row>
    <row r="34" spans="1:23" s="429" customFormat="1" ht="9.6" customHeight="1">
      <c r="A34" s="1231"/>
      <c r="B34" s="1232"/>
      <c r="C34" s="1232"/>
      <c r="D34" s="1232"/>
      <c r="E34" s="1232"/>
      <c r="F34" s="1232"/>
      <c r="G34" s="1232"/>
      <c r="H34" s="1232"/>
      <c r="I34" s="1232"/>
      <c r="J34" s="1232"/>
      <c r="K34" s="1232"/>
      <c r="L34" s="1232"/>
      <c r="M34" s="1232"/>
      <c r="N34" s="1232"/>
      <c r="O34" s="1232"/>
      <c r="P34" s="1232"/>
      <c r="Q34" s="1232"/>
      <c r="R34" s="1232"/>
      <c r="S34" s="1232"/>
      <c r="T34" s="1232"/>
      <c r="U34" s="1232"/>
      <c r="V34" s="1232"/>
      <c r="W34" s="1233"/>
    </row>
    <row r="35" spans="1:23" s="429" customFormat="1" ht="9.6" customHeight="1">
      <c r="A35" s="1243"/>
      <c r="B35" s="1244"/>
      <c r="C35" s="1244"/>
      <c r="D35" s="1244"/>
      <c r="E35" s="1244"/>
      <c r="F35" s="1244"/>
      <c r="G35" s="1244"/>
      <c r="H35" s="1244"/>
      <c r="I35" s="1244"/>
      <c r="J35" s="1244"/>
      <c r="K35" s="1244"/>
      <c r="L35" s="1244"/>
      <c r="M35" s="1244"/>
      <c r="N35" s="1244"/>
      <c r="O35" s="1244"/>
      <c r="P35" s="1244"/>
      <c r="Q35" s="1244"/>
      <c r="R35" s="1244"/>
      <c r="S35" s="1244"/>
      <c r="T35" s="1244"/>
      <c r="U35" s="1244"/>
      <c r="V35" s="1244"/>
      <c r="W35" s="1245"/>
    </row>
    <row r="36" spans="1:23" s="429" customFormat="1" ht="182.45" customHeight="1">
      <c r="A36" s="1246" t="s">
        <v>421</v>
      </c>
      <c r="B36" s="1247"/>
      <c r="C36" s="1247"/>
      <c r="D36" s="1247"/>
      <c r="E36" s="1247"/>
      <c r="F36" s="1247"/>
      <c r="G36" s="1247"/>
      <c r="H36" s="1247"/>
      <c r="I36" s="1247"/>
      <c r="J36" s="1247"/>
      <c r="K36" s="1247"/>
      <c r="L36" s="1247"/>
      <c r="M36" s="1247"/>
      <c r="N36" s="1247"/>
      <c r="O36" s="1247"/>
      <c r="P36" s="1247"/>
      <c r="Q36" s="1247"/>
      <c r="R36" s="1247"/>
      <c r="S36" s="1247"/>
      <c r="T36" s="1247"/>
      <c r="U36" s="1247"/>
      <c r="V36" s="1247"/>
      <c r="W36" s="1248"/>
    </row>
    <row r="37" spans="1:23" s="429" customFormat="1" ht="12.75" customHeight="1">
      <c r="A37" s="1215"/>
      <c r="B37" s="1216"/>
      <c r="C37" s="1216"/>
      <c r="D37" s="1216"/>
      <c r="E37" s="1216"/>
      <c r="F37" s="1216"/>
      <c r="G37" s="1216"/>
      <c r="H37" s="1216"/>
      <c r="I37" s="1216"/>
      <c r="J37" s="1216"/>
      <c r="K37" s="1216"/>
      <c r="L37" s="1216"/>
      <c r="M37" s="1216"/>
      <c r="N37" s="1216"/>
      <c r="O37" s="1216"/>
      <c r="P37" s="1216"/>
      <c r="Q37" s="1216"/>
      <c r="R37" s="1216"/>
      <c r="S37" s="1216"/>
      <c r="T37" s="1216"/>
      <c r="U37" s="1216"/>
      <c r="V37" s="1216"/>
      <c r="W37" s="1217"/>
    </row>
    <row r="38" spans="1:23" s="429" customFormat="1" ht="135" customHeight="1">
      <c r="A38" s="1243" t="s">
        <v>422</v>
      </c>
      <c r="B38" s="1258"/>
      <c r="C38" s="1258"/>
      <c r="D38" s="1258"/>
      <c r="E38" s="1258"/>
      <c r="F38" s="1258"/>
      <c r="G38" s="1258"/>
      <c r="H38" s="1258"/>
      <c r="I38" s="1258"/>
      <c r="J38" s="1258"/>
      <c r="K38" s="1258"/>
      <c r="L38" s="1258"/>
      <c r="M38" s="1258"/>
      <c r="N38" s="1258"/>
      <c r="O38" s="1258"/>
      <c r="P38" s="1258"/>
      <c r="Q38" s="1258"/>
      <c r="R38" s="1258"/>
      <c r="S38" s="1258"/>
      <c r="T38" s="1258"/>
      <c r="U38" s="1258"/>
      <c r="V38" s="1258"/>
      <c r="W38" s="1259"/>
    </row>
    <row r="39" spans="1:23" s="440" customFormat="1" ht="10.5" customHeight="1">
      <c r="A39" s="1260"/>
      <c r="B39" s="1261"/>
      <c r="C39" s="1261"/>
      <c r="D39" s="1261"/>
      <c r="E39" s="1261"/>
      <c r="F39" s="1261"/>
      <c r="G39" s="1261"/>
      <c r="H39" s="1261"/>
      <c r="I39" s="1261"/>
      <c r="J39" s="1261"/>
      <c r="K39" s="1261"/>
      <c r="L39" s="1261"/>
      <c r="M39" s="1261"/>
      <c r="N39" s="1261"/>
      <c r="O39" s="1261"/>
      <c r="P39" s="1261"/>
      <c r="Q39" s="1261"/>
      <c r="R39" s="1261"/>
      <c r="S39" s="1261"/>
      <c r="T39" s="1261"/>
      <c r="U39" s="1261"/>
      <c r="V39" s="1261"/>
      <c r="W39" s="1262"/>
    </row>
    <row r="40" spans="1:23" s="441" customFormat="1" ht="147" customHeight="1">
      <c r="A40" s="1263" t="s">
        <v>423</v>
      </c>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5"/>
    </row>
    <row r="41" spans="1:23" s="440" customFormat="1" ht="130.9" customHeight="1">
      <c r="A41" s="1266" t="s">
        <v>424</v>
      </c>
      <c r="B41" s="1267"/>
      <c r="C41" s="1267"/>
      <c r="D41" s="1267"/>
      <c r="E41" s="1267"/>
      <c r="F41" s="1267"/>
      <c r="G41" s="1267"/>
      <c r="H41" s="1267"/>
      <c r="I41" s="1267"/>
      <c r="J41" s="1267"/>
      <c r="K41" s="1267"/>
      <c r="L41" s="1267"/>
      <c r="M41" s="1267"/>
      <c r="N41" s="1267"/>
      <c r="O41" s="1267"/>
      <c r="P41" s="1267"/>
      <c r="Q41" s="1267"/>
      <c r="R41" s="1267"/>
      <c r="S41" s="1267"/>
      <c r="T41" s="1267"/>
      <c r="U41" s="1267"/>
      <c r="V41" s="1267"/>
      <c r="W41" s="1268"/>
    </row>
    <row r="42" spans="1:23" s="440" customFormat="1">
      <c r="A42" s="1269"/>
      <c r="B42" s="1270"/>
      <c r="C42" s="1270"/>
      <c r="D42" s="1271"/>
      <c r="E42" s="1271"/>
      <c r="F42" s="1271"/>
      <c r="G42" s="1271"/>
      <c r="H42" s="1271"/>
      <c r="I42" s="1271"/>
      <c r="J42" s="1271"/>
      <c r="K42" s="1271"/>
      <c r="L42" s="1271"/>
      <c r="M42" s="1271"/>
      <c r="N42" s="1271"/>
      <c r="O42" s="1271"/>
      <c r="P42" s="1271"/>
      <c r="Q42" s="1271"/>
      <c r="R42" s="1271"/>
      <c r="S42" s="1271"/>
      <c r="T42" s="442"/>
      <c r="U42" s="443"/>
      <c r="V42" s="442"/>
      <c r="W42" s="444"/>
    </row>
    <row r="43" spans="1:23" s="440" customFormat="1">
      <c r="A43" s="1182" t="s">
        <v>1147</v>
      </c>
      <c r="B43" s="1183"/>
      <c r="C43" s="1183"/>
      <c r="D43" s="1183"/>
      <c r="E43" s="1183"/>
      <c r="F43" s="1183"/>
      <c r="G43" s="1183"/>
      <c r="H43" s="1183"/>
      <c r="I43" s="1183"/>
      <c r="J43" s="1183"/>
      <c r="K43" s="1183"/>
      <c r="L43" s="1183"/>
      <c r="M43" s="1183"/>
      <c r="N43" s="1183"/>
      <c r="O43" s="1183"/>
      <c r="P43" s="1183"/>
      <c r="Q43" s="1183"/>
      <c r="R43" s="1183"/>
      <c r="S43" s="1183"/>
      <c r="T43" s="1183"/>
      <c r="U43" s="1183"/>
      <c r="V43" s="1183"/>
      <c r="W43" s="1184"/>
    </row>
    <row r="44" spans="1:23" s="440" customFormat="1">
      <c r="A44" s="891"/>
      <c r="B44" s="892"/>
      <c r="C44" s="892"/>
      <c r="D44" s="893"/>
      <c r="E44" s="893"/>
      <c r="F44" s="893"/>
      <c r="G44" s="893"/>
      <c r="H44" s="893"/>
      <c r="I44" s="893"/>
      <c r="J44" s="893"/>
      <c r="K44" s="893"/>
      <c r="L44" s="893"/>
      <c r="M44" s="893"/>
      <c r="N44" s="893"/>
      <c r="O44" s="893"/>
      <c r="P44" s="893"/>
      <c r="Q44" s="893"/>
      <c r="R44" s="893"/>
      <c r="S44" s="893"/>
      <c r="T44" s="442"/>
      <c r="U44" s="443"/>
      <c r="V44" s="442"/>
      <c r="W44" s="444"/>
    </row>
    <row r="45" spans="1:23" s="440" customFormat="1" ht="12.75" customHeight="1">
      <c r="A45" s="1179" t="s">
        <v>181</v>
      </c>
      <c r="B45" s="1179"/>
      <c r="C45" s="1179"/>
      <c r="D45" s="1179" t="s">
        <v>943</v>
      </c>
      <c r="E45" s="1179"/>
      <c r="F45" s="1179"/>
      <c r="G45" s="1179"/>
      <c r="H45" s="1179"/>
      <c r="I45" s="1179"/>
      <c r="J45" s="1179"/>
      <c r="K45" s="1179"/>
      <c r="L45" s="1179"/>
      <c r="M45" s="1179"/>
      <c r="N45" s="1179"/>
      <c r="O45" s="1179"/>
      <c r="P45" s="1179"/>
      <c r="Q45" s="1179"/>
      <c r="R45" s="1179"/>
      <c r="S45" s="1179"/>
      <c r="T45" s="1255" t="s">
        <v>342</v>
      </c>
      <c r="U45" s="1255"/>
      <c r="V45" s="1255"/>
      <c r="W45" s="898" t="s">
        <v>1146</v>
      </c>
    </row>
    <row r="46" spans="1:23" s="440" customFormat="1">
      <c r="A46" s="1179"/>
      <c r="B46" s="1179"/>
      <c r="C46" s="1179"/>
      <c r="D46" s="1179"/>
      <c r="E46" s="1179"/>
      <c r="F46" s="1179"/>
      <c r="G46" s="1179"/>
      <c r="H46" s="1179"/>
      <c r="I46" s="1179"/>
      <c r="J46" s="1179"/>
      <c r="K46" s="1179"/>
      <c r="L46" s="1179"/>
      <c r="M46" s="1179"/>
      <c r="N46" s="1179"/>
      <c r="O46" s="1179"/>
      <c r="P46" s="1179"/>
      <c r="Q46" s="1179"/>
      <c r="R46" s="1179"/>
      <c r="S46" s="1179"/>
      <c r="T46" s="1255"/>
      <c r="U46" s="1255"/>
      <c r="V46" s="1255"/>
      <c r="W46" s="898"/>
    </row>
    <row r="47" spans="1:23" s="440" customFormat="1" ht="15">
      <c r="A47" s="1179"/>
      <c r="B47" s="1179"/>
      <c r="C47" s="1179"/>
      <c r="D47" s="1180"/>
      <c r="E47" s="1180"/>
      <c r="F47" s="1180"/>
      <c r="G47" s="1180"/>
      <c r="H47" s="1180"/>
      <c r="I47" s="1180"/>
      <c r="J47" s="1180"/>
      <c r="K47" s="1180"/>
      <c r="L47" s="1180"/>
      <c r="M47" s="1180"/>
      <c r="N47" s="1180"/>
      <c r="O47" s="1180"/>
      <c r="P47" s="1180"/>
      <c r="Q47" s="1180"/>
      <c r="R47" s="1180"/>
      <c r="S47" s="1180"/>
      <c r="T47" s="1181"/>
      <c r="U47" s="1181"/>
      <c r="V47" s="1181"/>
      <c r="W47" s="899"/>
    </row>
    <row r="48" spans="1:23" s="440" customFormat="1" ht="15">
      <c r="A48" s="1179"/>
      <c r="B48" s="1179"/>
      <c r="C48" s="1179"/>
      <c r="D48" s="1180"/>
      <c r="E48" s="1180"/>
      <c r="F48" s="1180"/>
      <c r="G48" s="1180"/>
      <c r="H48" s="1180"/>
      <c r="I48" s="1180"/>
      <c r="J48" s="1180"/>
      <c r="K48" s="1180"/>
      <c r="L48" s="1180"/>
      <c r="M48" s="1180"/>
      <c r="N48" s="1180"/>
      <c r="O48" s="1180"/>
      <c r="P48" s="1180"/>
      <c r="Q48" s="1180"/>
      <c r="R48" s="1180"/>
      <c r="S48" s="1180"/>
      <c r="T48" s="1181"/>
      <c r="U48" s="1181"/>
      <c r="V48" s="1181"/>
      <c r="W48" s="899"/>
    </row>
    <row r="49" spans="1:23" s="440" customFormat="1" ht="15">
      <c r="A49" s="1179"/>
      <c r="B49" s="1179"/>
      <c r="C49" s="1179"/>
      <c r="D49" s="1180"/>
      <c r="E49" s="1180"/>
      <c r="F49" s="1180"/>
      <c r="G49" s="1180"/>
      <c r="H49" s="1180"/>
      <c r="I49" s="1180"/>
      <c r="J49" s="1180"/>
      <c r="K49" s="1180"/>
      <c r="L49" s="1180"/>
      <c r="M49" s="1180"/>
      <c r="N49" s="1180"/>
      <c r="O49" s="1180"/>
      <c r="P49" s="1180"/>
      <c r="Q49" s="1180"/>
      <c r="R49" s="1180"/>
      <c r="S49" s="1180"/>
      <c r="T49" s="1181"/>
      <c r="U49" s="1181"/>
      <c r="V49" s="1181"/>
      <c r="W49" s="899"/>
    </row>
    <row r="50" spans="1:23" s="440" customFormat="1" ht="15">
      <c r="A50" s="1179"/>
      <c r="B50" s="1179"/>
      <c r="C50" s="1179"/>
      <c r="D50" s="1180"/>
      <c r="E50" s="1180"/>
      <c r="F50" s="1180"/>
      <c r="G50" s="1180"/>
      <c r="H50" s="1180"/>
      <c r="I50" s="1180"/>
      <c r="J50" s="1180"/>
      <c r="K50" s="1180"/>
      <c r="L50" s="1180"/>
      <c r="M50" s="1180"/>
      <c r="N50" s="1180"/>
      <c r="O50" s="1180"/>
      <c r="P50" s="1180"/>
      <c r="Q50" s="1180"/>
      <c r="R50" s="1180"/>
      <c r="S50" s="1180"/>
      <c r="T50" s="1181"/>
      <c r="U50" s="1181"/>
      <c r="V50" s="1181"/>
      <c r="W50" s="899"/>
    </row>
    <row r="51" spans="1:23" s="440" customFormat="1" ht="15">
      <c r="A51" s="1179"/>
      <c r="B51" s="1179"/>
      <c r="C51" s="1179"/>
      <c r="D51" s="1180"/>
      <c r="E51" s="1180"/>
      <c r="F51" s="1180"/>
      <c r="G51" s="1180"/>
      <c r="H51" s="1180"/>
      <c r="I51" s="1180"/>
      <c r="J51" s="1180"/>
      <c r="K51" s="1180"/>
      <c r="L51" s="1180"/>
      <c r="M51" s="1180"/>
      <c r="N51" s="1180"/>
      <c r="O51" s="1180"/>
      <c r="P51" s="1180"/>
      <c r="Q51" s="1180"/>
      <c r="R51" s="1180"/>
      <c r="S51" s="1180"/>
      <c r="T51" s="1181"/>
      <c r="U51" s="1181"/>
      <c r="V51" s="1181"/>
      <c r="W51" s="899"/>
    </row>
    <row r="52" spans="1:23" s="440" customFormat="1" ht="15">
      <c r="A52" s="1179"/>
      <c r="B52" s="1179"/>
      <c r="C52" s="1179"/>
      <c r="D52" s="1180"/>
      <c r="E52" s="1180"/>
      <c r="F52" s="1180"/>
      <c r="G52" s="1180"/>
      <c r="H52" s="1180"/>
      <c r="I52" s="1180"/>
      <c r="J52" s="1180"/>
      <c r="K52" s="1180"/>
      <c r="L52" s="1180"/>
      <c r="M52" s="1180"/>
      <c r="N52" s="1180"/>
      <c r="O52" s="1180"/>
      <c r="P52" s="1180"/>
      <c r="Q52" s="1180"/>
      <c r="R52" s="1180"/>
      <c r="S52" s="1180"/>
      <c r="T52" s="1181"/>
      <c r="U52" s="1181"/>
      <c r="V52" s="1181"/>
      <c r="W52" s="899"/>
    </row>
    <row r="53" spans="1:23" s="440" customFormat="1" ht="15">
      <c r="A53" s="1179"/>
      <c r="B53" s="1179"/>
      <c r="C53" s="1179"/>
      <c r="D53" s="1180"/>
      <c r="E53" s="1180"/>
      <c r="F53" s="1180"/>
      <c r="G53" s="1180"/>
      <c r="H53" s="1180"/>
      <c r="I53" s="1180"/>
      <c r="J53" s="1180"/>
      <c r="K53" s="1180"/>
      <c r="L53" s="1180"/>
      <c r="M53" s="1180"/>
      <c r="N53" s="1180"/>
      <c r="O53" s="1180"/>
      <c r="P53" s="1180"/>
      <c r="Q53" s="1180"/>
      <c r="R53" s="1180"/>
      <c r="S53" s="1180"/>
      <c r="T53" s="1181"/>
      <c r="U53" s="1181"/>
      <c r="V53" s="1181"/>
      <c r="W53" s="899"/>
    </row>
    <row r="54" spans="1:23" s="440" customFormat="1" ht="15">
      <c r="A54" s="1179"/>
      <c r="B54" s="1179"/>
      <c r="C54" s="1179"/>
      <c r="D54" s="1180"/>
      <c r="E54" s="1180"/>
      <c r="F54" s="1180"/>
      <c r="G54" s="1180"/>
      <c r="H54" s="1180"/>
      <c r="I54" s="1180"/>
      <c r="J54" s="1180"/>
      <c r="K54" s="1180"/>
      <c r="L54" s="1180"/>
      <c r="M54" s="1180"/>
      <c r="N54" s="1180"/>
      <c r="O54" s="1180"/>
      <c r="P54" s="1180"/>
      <c r="Q54" s="1180"/>
      <c r="R54" s="1180"/>
      <c r="S54" s="1180"/>
      <c r="T54" s="1181"/>
      <c r="U54" s="1181"/>
      <c r="V54" s="1181"/>
      <c r="W54" s="899"/>
    </row>
    <row r="55" spans="1:23" s="440" customFormat="1" ht="15">
      <c r="A55" s="1179"/>
      <c r="B55" s="1179"/>
      <c r="C55" s="1179"/>
      <c r="D55" s="1180"/>
      <c r="E55" s="1180"/>
      <c r="F55" s="1180"/>
      <c r="G55" s="1180"/>
      <c r="H55" s="1180"/>
      <c r="I55" s="1180"/>
      <c r="J55" s="1180"/>
      <c r="K55" s="1180"/>
      <c r="L55" s="1180"/>
      <c r="M55" s="1180"/>
      <c r="N55" s="1180"/>
      <c r="O55" s="1180"/>
      <c r="P55" s="1180"/>
      <c r="Q55" s="1180"/>
      <c r="R55" s="1180"/>
      <c r="S55" s="1180"/>
      <c r="T55" s="1181"/>
      <c r="U55" s="1181"/>
      <c r="V55" s="1181"/>
      <c r="W55" s="899"/>
    </row>
    <row r="56" spans="1:23" s="440" customFormat="1" ht="15">
      <c r="A56" s="1179"/>
      <c r="B56" s="1179"/>
      <c r="C56" s="1179"/>
      <c r="D56" s="1180"/>
      <c r="E56" s="1180"/>
      <c r="F56" s="1180"/>
      <c r="G56" s="1180"/>
      <c r="H56" s="1180"/>
      <c r="I56" s="1180"/>
      <c r="J56" s="1180"/>
      <c r="K56" s="1180"/>
      <c r="L56" s="1180"/>
      <c r="M56" s="1180"/>
      <c r="N56" s="1180"/>
      <c r="O56" s="1180"/>
      <c r="P56" s="1180"/>
      <c r="Q56" s="1180"/>
      <c r="R56" s="1180"/>
      <c r="S56" s="1180"/>
      <c r="T56" s="1181"/>
      <c r="U56" s="1181"/>
      <c r="V56" s="1181"/>
      <c r="W56" s="899"/>
    </row>
    <row r="57" spans="1:23" s="440" customFormat="1" ht="15">
      <c r="A57" s="1179"/>
      <c r="B57" s="1179"/>
      <c r="C57" s="1179"/>
      <c r="D57" s="1180"/>
      <c r="E57" s="1180"/>
      <c r="F57" s="1180"/>
      <c r="G57" s="1180"/>
      <c r="H57" s="1180"/>
      <c r="I57" s="1180"/>
      <c r="J57" s="1180"/>
      <c r="K57" s="1180"/>
      <c r="L57" s="1180"/>
      <c r="M57" s="1180"/>
      <c r="N57" s="1180"/>
      <c r="O57" s="1180"/>
      <c r="P57" s="1180"/>
      <c r="Q57" s="1180"/>
      <c r="R57" s="1180"/>
      <c r="S57" s="1180"/>
      <c r="T57" s="1181"/>
      <c r="U57" s="1181"/>
      <c r="V57" s="1181"/>
      <c r="W57" s="899"/>
    </row>
    <row r="58" spans="1:23" s="440" customFormat="1" ht="15">
      <c r="A58" s="1179"/>
      <c r="B58" s="1179"/>
      <c r="C58" s="1179"/>
      <c r="D58" s="1180"/>
      <c r="E58" s="1180"/>
      <c r="F58" s="1180"/>
      <c r="G58" s="1180"/>
      <c r="H58" s="1180"/>
      <c r="I58" s="1180"/>
      <c r="J58" s="1180"/>
      <c r="K58" s="1180"/>
      <c r="L58" s="1180"/>
      <c r="M58" s="1180"/>
      <c r="N58" s="1180"/>
      <c r="O58" s="1180"/>
      <c r="P58" s="1180"/>
      <c r="Q58" s="1180"/>
      <c r="R58" s="1180"/>
      <c r="S58" s="1180"/>
      <c r="T58" s="1181"/>
      <c r="U58" s="1181"/>
      <c r="V58" s="1181"/>
      <c r="W58" s="899"/>
    </row>
    <row r="59" spans="1:23" s="440" customFormat="1" ht="15">
      <c r="A59" s="1179"/>
      <c r="B59" s="1179"/>
      <c r="C59" s="1179"/>
      <c r="D59" s="1180"/>
      <c r="E59" s="1180"/>
      <c r="F59" s="1180"/>
      <c r="G59" s="1180"/>
      <c r="H59" s="1180"/>
      <c r="I59" s="1180"/>
      <c r="J59" s="1180"/>
      <c r="K59" s="1180"/>
      <c r="L59" s="1180"/>
      <c r="M59" s="1180"/>
      <c r="N59" s="1180"/>
      <c r="O59" s="1180"/>
      <c r="P59" s="1180"/>
      <c r="Q59" s="1180"/>
      <c r="R59" s="1180"/>
      <c r="S59" s="1180"/>
      <c r="T59" s="1181"/>
      <c r="U59" s="1181"/>
      <c r="V59" s="1181"/>
      <c r="W59" s="899"/>
    </row>
    <row r="60" spans="1:23" s="440" customFormat="1" ht="15">
      <c r="A60" s="1179"/>
      <c r="B60" s="1179"/>
      <c r="C60" s="1179"/>
      <c r="D60" s="1180"/>
      <c r="E60" s="1180"/>
      <c r="F60" s="1180"/>
      <c r="G60" s="1180"/>
      <c r="H60" s="1180"/>
      <c r="I60" s="1180"/>
      <c r="J60" s="1180"/>
      <c r="K60" s="1180"/>
      <c r="L60" s="1180"/>
      <c r="M60" s="1180"/>
      <c r="N60" s="1180"/>
      <c r="O60" s="1180"/>
      <c r="P60" s="1180"/>
      <c r="Q60" s="1180"/>
      <c r="R60" s="1180"/>
      <c r="S60" s="1180"/>
      <c r="T60" s="1181"/>
      <c r="U60" s="1181"/>
      <c r="V60" s="1181"/>
      <c r="W60" s="899"/>
    </row>
    <row r="61" spans="1:23" s="440" customFormat="1" ht="15">
      <c r="A61" s="1179"/>
      <c r="B61" s="1179"/>
      <c r="C61" s="1179"/>
      <c r="D61" s="1180"/>
      <c r="E61" s="1180"/>
      <c r="F61" s="1180"/>
      <c r="G61" s="1180"/>
      <c r="H61" s="1180"/>
      <c r="I61" s="1180"/>
      <c r="J61" s="1180"/>
      <c r="K61" s="1180"/>
      <c r="L61" s="1180"/>
      <c r="M61" s="1180"/>
      <c r="N61" s="1180"/>
      <c r="O61" s="1180"/>
      <c r="P61" s="1180"/>
      <c r="Q61" s="1180"/>
      <c r="R61" s="1180"/>
      <c r="S61" s="1180"/>
      <c r="T61" s="1181"/>
      <c r="U61" s="1181"/>
      <c r="V61" s="1181"/>
      <c r="W61" s="899"/>
    </row>
    <row r="62" spans="1:23" s="440" customFormat="1" ht="15">
      <c r="A62" s="1179"/>
      <c r="B62" s="1179"/>
      <c r="C62" s="1179"/>
      <c r="D62" s="1180"/>
      <c r="E62" s="1180"/>
      <c r="F62" s="1180"/>
      <c r="G62" s="1180"/>
      <c r="H62" s="1180"/>
      <c r="I62" s="1180"/>
      <c r="J62" s="1180"/>
      <c r="K62" s="1180"/>
      <c r="L62" s="1180"/>
      <c r="M62" s="1180"/>
      <c r="N62" s="1180"/>
      <c r="O62" s="1180"/>
      <c r="P62" s="1180"/>
      <c r="Q62" s="1180"/>
      <c r="R62" s="1180"/>
      <c r="S62" s="1180"/>
      <c r="T62" s="1181"/>
      <c r="U62" s="1181"/>
      <c r="V62" s="1181"/>
      <c r="W62" s="899"/>
    </row>
    <row r="63" spans="1:23" s="440" customFormat="1" ht="15">
      <c r="A63" s="1179"/>
      <c r="B63" s="1179"/>
      <c r="C63" s="1179"/>
      <c r="D63" s="1180"/>
      <c r="E63" s="1180"/>
      <c r="F63" s="1180"/>
      <c r="G63" s="1180"/>
      <c r="H63" s="1180"/>
      <c r="I63" s="1180"/>
      <c r="J63" s="1180"/>
      <c r="K63" s="1180"/>
      <c r="L63" s="1180"/>
      <c r="M63" s="1180"/>
      <c r="N63" s="1180"/>
      <c r="O63" s="1180"/>
      <c r="P63" s="1180"/>
      <c r="Q63" s="1180"/>
      <c r="R63" s="1180"/>
      <c r="S63" s="1180"/>
      <c r="T63" s="1181"/>
      <c r="U63" s="1181"/>
      <c r="V63" s="1181"/>
      <c r="W63" s="899"/>
    </row>
    <row r="64" spans="1:23" s="440" customFormat="1" ht="15">
      <c r="A64" s="1179"/>
      <c r="B64" s="1179"/>
      <c r="C64" s="1179"/>
      <c r="D64" s="1180"/>
      <c r="E64" s="1180"/>
      <c r="F64" s="1180"/>
      <c r="G64" s="1180"/>
      <c r="H64" s="1180"/>
      <c r="I64" s="1180"/>
      <c r="J64" s="1180"/>
      <c r="K64" s="1180"/>
      <c r="L64" s="1180"/>
      <c r="M64" s="1180"/>
      <c r="N64" s="1180"/>
      <c r="O64" s="1180"/>
      <c r="P64" s="1180"/>
      <c r="Q64" s="1180"/>
      <c r="R64" s="1180"/>
      <c r="S64" s="1180"/>
      <c r="T64" s="1181"/>
      <c r="U64" s="1181"/>
      <c r="V64" s="1181"/>
      <c r="W64" s="899"/>
    </row>
    <row r="65" spans="1:23" s="440" customFormat="1" ht="15">
      <c r="A65" s="1179"/>
      <c r="B65" s="1179"/>
      <c r="C65" s="1179"/>
      <c r="D65" s="1180"/>
      <c r="E65" s="1180"/>
      <c r="F65" s="1180"/>
      <c r="G65" s="1180"/>
      <c r="H65" s="1180"/>
      <c r="I65" s="1180"/>
      <c r="J65" s="1180"/>
      <c r="K65" s="1180"/>
      <c r="L65" s="1180"/>
      <c r="M65" s="1180"/>
      <c r="N65" s="1180"/>
      <c r="O65" s="1180"/>
      <c r="P65" s="1180"/>
      <c r="Q65" s="1180"/>
      <c r="R65" s="1180"/>
      <c r="S65" s="1180"/>
      <c r="T65" s="1181"/>
      <c r="U65" s="1181"/>
      <c r="V65" s="1181"/>
      <c r="W65" s="899"/>
    </row>
    <row r="66" spans="1:23" s="440" customFormat="1" ht="15">
      <c r="A66" s="1179"/>
      <c r="B66" s="1179"/>
      <c r="C66" s="1179"/>
      <c r="D66" s="1180"/>
      <c r="E66" s="1180"/>
      <c r="F66" s="1180"/>
      <c r="G66" s="1180"/>
      <c r="H66" s="1180"/>
      <c r="I66" s="1180"/>
      <c r="J66" s="1180"/>
      <c r="K66" s="1180"/>
      <c r="L66" s="1180"/>
      <c r="M66" s="1180"/>
      <c r="N66" s="1180"/>
      <c r="O66" s="1180"/>
      <c r="P66" s="1180"/>
      <c r="Q66" s="1180"/>
      <c r="R66" s="1180"/>
      <c r="S66" s="1180"/>
      <c r="T66" s="1181"/>
      <c r="U66" s="1181"/>
      <c r="V66" s="1181"/>
      <c r="W66" s="899"/>
    </row>
    <row r="67" spans="1:23" s="440" customFormat="1" ht="15">
      <c r="A67" s="1179"/>
      <c r="B67" s="1179"/>
      <c r="C67" s="1179"/>
      <c r="D67" s="1180"/>
      <c r="E67" s="1180"/>
      <c r="F67" s="1180"/>
      <c r="G67" s="1180"/>
      <c r="H67" s="1180"/>
      <c r="I67" s="1180"/>
      <c r="J67" s="1180"/>
      <c r="K67" s="1180"/>
      <c r="L67" s="1180"/>
      <c r="M67" s="1180"/>
      <c r="N67" s="1180"/>
      <c r="O67" s="1180"/>
      <c r="P67" s="1180"/>
      <c r="Q67" s="1180"/>
      <c r="R67" s="1180"/>
      <c r="S67" s="1180"/>
      <c r="T67" s="1181"/>
      <c r="U67" s="1181"/>
      <c r="V67" s="1181"/>
      <c r="W67" s="899"/>
    </row>
    <row r="68" spans="1:23" s="440" customFormat="1" ht="15">
      <c r="A68" s="1179"/>
      <c r="B68" s="1179"/>
      <c r="C68" s="1179"/>
      <c r="D68" s="1180"/>
      <c r="E68" s="1180"/>
      <c r="F68" s="1180"/>
      <c r="G68" s="1180"/>
      <c r="H68" s="1180"/>
      <c r="I68" s="1180"/>
      <c r="J68" s="1180"/>
      <c r="K68" s="1180"/>
      <c r="L68" s="1180"/>
      <c r="M68" s="1180"/>
      <c r="N68" s="1180"/>
      <c r="O68" s="1180"/>
      <c r="P68" s="1180"/>
      <c r="Q68" s="1180"/>
      <c r="R68" s="1180"/>
      <c r="S68" s="1180"/>
      <c r="T68" s="1181"/>
      <c r="U68" s="1181"/>
      <c r="V68" s="1181"/>
      <c r="W68" s="899"/>
    </row>
    <row r="69" spans="1:23" s="440" customFormat="1" ht="15">
      <c r="A69" s="1179"/>
      <c r="B69" s="1179"/>
      <c r="C69" s="1179"/>
      <c r="D69" s="1180"/>
      <c r="E69" s="1180"/>
      <c r="F69" s="1180"/>
      <c r="G69" s="1180"/>
      <c r="H69" s="1180"/>
      <c r="I69" s="1180"/>
      <c r="J69" s="1180"/>
      <c r="K69" s="1180"/>
      <c r="L69" s="1180"/>
      <c r="M69" s="1180"/>
      <c r="N69" s="1180"/>
      <c r="O69" s="1180"/>
      <c r="P69" s="1180"/>
      <c r="Q69" s="1180"/>
      <c r="R69" s="1180"/>
      <c r="S69" s="1180"/>
      <c r="T69" s="1181"/>
      <c r="U69" s="1181"/>
      <c r="V69" s="1181"/>
      <c r="W69" s="899"/>
    </row>
    <row r="70" spans="1:23" s="440" customFormat="1">
      <c r="A70" s="891"/>
      <c r="B70" s="892"/>
      <c r="C70" s="892"/>
      <c r="D70" s="893"/>
      <c r="E70" s="893"/>
      <c r="F70" s="893"/>
      <c r="G70" s="893"/>
      <c r="H70" s="893"/>
      <c r="I70" s="893"/>
      <c r="J70" s="893"/>
      <c r="K70" s="893"/>
      <c r="L70" s="893"/>
      <c r="M70" s="893"/>
      <c r="N70" s="893"/>
      <c r="O70" s="893"/>
      <c r="P70" s="893"/>
      <c r="Q70" s="893"/>
      <c r="R70" s="893"/>
      <c r="S70" s="893"/>
      <c r="T70" s="442"/>
      <c r="U70" s="443"/>
      <c r="V70" s="442"/>
      <c r="W70" s="444"/>
    </row>
    <row r="71" spans="1:23" s="440" customFormat="1">
      <c r="A71" s="891"/>
      <c r="B71" s="892"/>
      <c r="C71" s="892"/>
      <c r="D71" s="893"/>
      <c r="E71" s="893"/>
      <c r="F71" s="893"/>
      <c r="G71" s="893"/>
      <c r="H71" s="893"/>
      <c r="I71" s="893"/>
      <c r="J71" s="893"/>
      <c r="K71" s="893"/>
      <c r="L71" s="893"/>
      <c r="M71" s="893"/>
      <c r="N71" s="893"/>
      <c r="O71" s="893"/>
      <c r="P71" s="893"/>
      <c r="Q71" s="893"/>
      <c r="R71" s="893"/>
      <c r="S71" s="893"/>
      <c r="T71" s="442"/>
      <c r="U71" s="443"/>
      <c r="V71" s="442"/>
      <c r="W71" s="444"/>
    </row>
    <row r="72" spans="1:23" s="429" customFormat="1" ht="11.25" customHeight="1">
      <c r="A72" s="430"/>
      <c r="B72" s="431"/>
      <c r="C72" s="445"/>
      <c r="D72" s="436"/>
      <c r="E72" s="439"/>
      <c r="F72" s="436"/>
      <c r="G72" s="436"/>
      <c r="H72" s="436"/>
      <c r="I72" s="436"/>
      <c r="J72" s="436"/>
      <c r="K72" s="436"/>
      <c r="L72" s="439"/>
      <c r="M72" s="439"/>
      <c r="N72" s="446"/>
      <c r="O72" s="447"/>
      <c r="P72" s="447"/>
      <c r="Q72" s="447"/>
      <c r="R72" s="447"/>
      <c r="S72" s="447"/>
      <c r="T72" s="447"/>
      <c r="U72" s="447"/>
      <c r="V72" s="447"/>
      <c r="W72" s="448"/>
    </row>
    <row r="73" spans="1:23" s="429" customFormat="1" ht="10.5" customHeight="1">
      <c r="A73" s="430" t="s">
        <v>425</v>
      </c>
      <c r="B73" s="431"/>
      <c r="C73" s="436"/>
      <c r="D73" s="436"/>
      <c r="E73" s="439"/>
      <c r="F73" s="436"/>
      <c r="G73" s="436"/>
      <c r="H73" s="436"/>
      <c r="I73" s="436"/>
      <c r="J73" s="436"/>
      <c r="K73" s="436"/>
      <c r="L73" s="439"/>
      <c r="M73" s="439"/>
      <c r="N73" s="447"/>
      <c r="O73" s="447"/>
      <c r="P73" s="447"/>
      <c r="Q73" s="447"/>
      <c r="R73" s="447"/>
      <c r="S73" s="447"/>
      <c r="T73" s="447"/>
      <c r="U73" s="447"/>
      <c r="V73" s="447"/>
      <c r="W73" s="448"/>
    </row>
    <row r="74" spans="1:23" s="429" customFormat="1" ht="17.25" customHeight="1">
      <c r="A74" s="1182" t="s">
        <v>426</v>
      </c>
      <c r="B74" s="1183"/>
      <c r="C74" s="1183"/>
      <c r="D74" s="1183"/>
      <c r="E74" s="1183"/>
      <c r="F74" s="1183"/>
      <c r="G74" s="1183"/>
      <c r="H74" s="1183"/>
      <c r="I74" s="1183"/>
      <c r="J74" s="1183"/>
      <c r="K74" s="1183"/>
      <c r="L74" s="1183"/>
      <c r="M74" s="1183"/>
      <c r="N74" s="1183"/>
      <c r="O74" s="439"/>
      <c r="P74" s="439"/>
      <c r="Q74" s="439"/>
      <c r="R74" s="449"/>
      <c r="S74" s="450"/>
      <c r="T74" s="449"/>
      <c r="U74" s="449"/>
      <c r="V74" s="449"/>
      <c r="W74" s="451"/>
    </row>
    <row r="75" spans="1:23" s="429" customFormat="1" ht="15" customHeight="1">
      <c r="A75" s="1250" t="s">
        <v>427</v>
      </c>
      <c r="B75" s="1249"/>
      <c r="C75" s="1249"/>
      <c r="D75" s="1249"/>
      <c r="E75" s="1249"/>
      <c r="F75" s="1249"/>
      <c r="G75" s="1249"/>
      <c r="H75" s="1249"/>
      <c r="I75" s="1249"/>
      <c r="J75" s="1249"/>
      <c r="K75" s="1249"/>
      <c r="L75" s="1249"/>
      <c r="M75" s="1249"/>
      <c r="N75" s="1249"/>
      <c r="O75" s="439"/>
      <c r="P75" s="439"/>
      <c r="Q75" s="439"/>
      <c r="R75" s="452" t="s">
        <v>428</v>
      </c>
      <c r="S75" s="449"/>
      <c r="T75" s="449"/>
      <c r="U75" s="449"/>
      <c r="V75" s="449"/>
      <c r="W75" s="451"/>
    </row>
    <row r="76" spans="1:23" s="429" customFormat="1" ht="17.25" customHeight="1">
      <c r="A76" s="430"/>
      <c r="B76" s="431"/>
      <c r="C76" s="431"/>
      <c r="D76" s="431"/>
      <c r="E76" s="439"/>
      <c r="F76" s="453"/>
      <c r="G76" s="453"/>
      <c r="H76" s="453"/>
      <c r="I76" s="453"/>
      <c r="J76" s="439"/>
      <c r="K76" s="439"/>
      <c r="L76" s="439"/>
      <c r="M76" s="439"/>
      <c r="N76" s="439"/>
      <c r="O76" s="439"/>
      <c r="P76" s="439"/>
      <c r="Q76" s="439"/>
      <c r="R76" s="439"/>
      <c r="S76" s="439"/>
      <c r="T76" s="439"/>
      <c r="U76" s="439"/>
      <c r="V76" s="439"/>
      <c r="W76" s="448"/>
    </row>
    <row r="77" spans="1:23" s="429" customFormat="1" ht="29.45" customHeight="1">
      <c r="A77" s="430"/>
      <c r="B77" s="431"/>
      <c r="C77" s="431"/>
      <c r="D77" s="431"/>
      <c r="E77" s="439"/>
      <c r="F77" s="453"/>
      <c r="G77" s="453"/>
      <c r="H77" s="453"/>
      <c r="I77" s="453"/>
      <c r="J77" s="439"/>
      <c r="K77" s="439"/>
      <c r="L77" s="439"/>
      <c r="M77" s="439"/>
      <c r="N77" s="439"/>
      <c r="O77" s="439"/>
      <c r="P77" s="439"/>
      <c r="Q77" s="439"/>
      <c r="R77" s="439"/>
      <c r="S77" s="439"/>
      <c r="T77" s="439"/>
      <c r="U77" s="439"/>
      <c r="V77" s="439"/>
      <c r="W77" s="448"/>
    </row>
    <row r="78" spans="1:23" s="429" customFormat="1" ht="10.5" customHeight="1">
      <c r="A78" s="430" t="s">
        <v>425</v>
      </c>
      <c r="B78" s="431"/>
      <c r="C78" s="436"/>
      <c r="D78" s="436"/>
      <c r="E78" s="439"/>
      <c r="F78" s="436"/>
      <c r="G78" s="436"/>
      <c r="H78" s="436"/>
      <c r="I78" s="436"/>
      <c r="J78" s="436"/>
      <c r="K78" s="436"/>
      <c r="L78" s="439"/>
      <c r="M78" s="439"/>
      <c r="N78" s="447"/>
      <c r="O78" s="447"/>
      <c r="P78" s="447"/>
      <c r="Q78" s="447"/>
      <c r="R78" s="447"/>
      <c r="S78" s="447"/>
      <c r="T78" s="447"/>
      <c r="U78" s="447"/>
      <c r="V78" s="447"/>
      <c r="W78" s="448"/>
    </row>
    <row r="79" spans="1:23" s="429" customFormat="1" ht="13.15" customHeight="1">
      <c r="A79" s="1182"/>
      <c r="B79" s="1183"/>
      <c r="C79" s="1183"/>
      <c r="D79" s="1183"/>
      <c r="E79" s="1183"/>
      <c r="F79" s="1183"/>
      <c r="G79" s="1183"/>
      <c r="H79" s="1183"/>
      <c r="I79" s="1183"/>
      <c r="J79" s="1183"/>
      <c r="K79" s="1183"/>
      <c r="L79" s="1183"/>
      <c r="M79" s="1183"/>
      <c r="N79" s="1183"/>
      <c r="O79" s="439"/>
      <c r="P79" s="439"/>
      <c r="Q79" s="454"/>
      <c r="R79" s="455"/>
      <c r="S79" s="454"/>
      <c r="T79" s="454"/>
      <c r="U79" s="454"/>
      <c r="V79" s="454"/>
      <c r="W79" s="456"/>
    </row>
    <row r="80" spans="1:23" s="429" customFormat="1" ht="15" customHeight="1">
      <c r="A80" s="1251" t="s">
        <v>107</v>
      </c>
      <c r="B80" s="1252"/>
      <c r="C80" s="1252"/>
      <c r="D80" s="1252"/>
      <c r="E80" s="1252"/>
      <c r="F80" s="1252"/>
      <c r="G80" s="1252"/>
      <c r="H80" s="1252"/>
      <c r="I80" s="1252"/>
      <c r="J80" s="1252"/>
      <c r="K80" s="1252"/>
      <c r="L80" s="1252"/>
      <c r="M80" s="1252"/>
      <c r="N80" s="1252"/>
      <c r="O80" s="439"/>
      <c r="P80" s="439"/>
      <c r="Q80" s="439"/>
      <c r="R80" s="1253" t="s">
        <v>105</v>
      </c>
      <c r="S80" s="1253"/>
      <c r="T80" s="1253"/>
      <c r="U80" s="1253"/>
      <c r="V80" s="1253"/>
      <c r="W80" s="451"/>
    </row>
    <row r="81" spans="1:23" s="429" customFormat="1" ht="17.25" customHeight="1">
      <c r="A81" s="1256" t="s">
        <v>1149</v>
      </c>
      <c r="B81" s="1256"/>
      <c r="C81" s="1256"/>
      <c r="D81" s="1256"/>
      <c r="E81" s="457"/>
      <c r="F81" s="457"/>
      <c r="G81" s="457"/>
      <c r="H81" s="457"/>
      <c r="I81" s="457"/>
      <c r="J81" s="457"/>
      <c r="K81" s="457"/>
      <c r="L81" s="457"/>
      <c r="M81" s="457"/>
      <c r="N81" s="457"/>
      <c r="O81" s="439"/>
      <c r="P81" s="458"/>
      <c r="Q81" s="458"/>
      <c r="R81" s="458"/>
      <c r="S81" s="458"/>
      <c r="T81" s="458"/>
      <c r="U81" s="458"/>
      <c r="V81" s="439"/>
      <c r="W81" s="448"/>
    </row>
    <row r="82" spans="1:23" s="429" customFormat="1" ht="17.25" customHeight="1">
      <c r="A82" s="1256" t="s">
        <v>1150</v>
      </c>
      <c r="B82" s="1256"/>
      <c r="C82" s="1256"/>
      <c r="D82" s="1256"/>
      <c r="E82" s="458"/>
      <c r="F82" s="447"/>
      <c r="G82" s="447"/>
      <c r="H82" s="447"/>
      <c r="I82" s="447"/>
      <c r="J82" s="447"/>
      <c r="K82" s="447"/>
      <c r="L82" s="439"/>
      <c r="M82" s="439"/>
      <c r="N82" s="431"/>
      <c r="O82" s="431"/>
      <c r="P82" s="431"/>
      <c r="Q82" s="459"/>
      <c r="R82" s="431"/>
      <c r="S82" s="431"/>
      <c r="T82" s="431"/>
      <c r="U82" s="431"/>
      <c r="V82" s="431"/>
      <c r="W82" s="448"/>
    </row>
    <row r="83" spans="1:23" ht="12.75" customHeight="1">
      <c r="A83" s="1257" t="s">
        <v>1151</v>
      </c>
      <c r="B83" s="1257"/>
      <c r="C83" s="1257"/>
      <c r="D83" s="1257"/>
      <c r="E83" s="461"/>
      <c r="F83" s="460"/>
      <c r="G83" s="460"/>
      <c r="H83" s="460"/>
      <c r="I83" s="460"/>
      <c r="J83" s="460"/>
      <c r="K83" s="460"/>
      <c r="L83" s="460"/>
      <c r="M83" s="460"/>
      <c r="N83" s="460"/>
      <c r="O83" s="460"/>
      <c r="P83" s="460"/>
      <c r="Q83" s="460"/>
      <c r="R83" s="460"/>
      <c r="S83" s="460"/>
      <c r="T83" s="460"/>
      <c r="U83" s="460"/>
      <c r="V83" s="460"/>
      <c r="W83" s="462"/>
    </row>
    <row r="84" spans="1:23" ht="21" customHeight="1">
      <c r="A84" s="409"/>
      <c r="B84" s="409"/>
      <c r="C84" s="409"/>
      <c r="D84" s="409"/>
      <c r="E84" s="410"/>
      <c r="F84" s="409"/>
      <c r="G84" s="409"/>
      <c r="H84" s="409"/>
      <c r="I84" s="409"/>
      <c r="J84" s="409"/>
      <c r="K84" s="409"/>
      <c r="L84" s="409"/>
      <c r="M84" s="409"/>
      <c r="N84" s="409"/>
      <c r="O84" s="409"/>
      <c r="P84" s="409"/>
      <c r="Q84" s="409"/>
      <c r="R84" s="409"/>
      <c r="S84" s="409"/>
      <c r="T84" s="1254"/>
      <c r="U84" s="1254"/>
      <c r="V84" s="1254"/>
      <c r="W84" s="1254"/>
    </row>
    <row r="85" spans="1:23" ht="12.75" customHeight="1">
      <c r="A85" s="409"/>
      <c r="B85" s="409"/>
      <c r="C85" s="409"/>
      <c r="D85" s="409"/>
      <c r="E85" s="410"/>
      <c r="F85" s="409"/>
      <c r="G85" s="409"/>
      <c r="H85" s="409"/>
      <c r="I85" s="409"/>
      <c r="J85" s="409"/>
      <c r="K85" s="409"/>
      <c r="L85" s="409"/>
      <c r="M85" s="409"/>
      <c r="N85" s="409"/>
      <c r="O85" s="409"/>
      <c r="P85" s="409"/>
      <c r="Q85" s="409"/>
      <c r="R85" s="409"/>
      <c r="S85" s="409"/>
      <c r="T85" s="409"/>
      <c r="U85" s="409"/>
      <c r="V85" s="409"/>
      <c r="W85" s="409"/>
    </row>
    <row r="86" spans="1:23" ht="15" customHeight="1">
      <c r="A86" s="409"/>
      <c r="B86" s="409"/>
      <c r="C86" s="409"/>
      <c r="D86" s="409"/>
      <c r="E86" s="410"/>
      <c r="F86" s="409"/>
      <c r="G86" s="409"/>
      <c r="H86" s="409"/>
      <c r="I86" s="409"/>
      <c r="J86" s="409"/>
      <c r="K86" s="409"/>
      <c r="L86" s="409"/>
      <c r="M86" s="409"/>
      <c r="N86" s="409"/>
      <c r="O86" s="409"/>
      <c r="P86" s="409"/>
      <c r="Q86" s="409"/>
      <c r="R86" s="409"/>
      <c r="S86" s="409"/>
      <c r="T86" s="409"/>
      <c r="U86" s="409"/>
      <c r="V86" s="409"/>
      <c r="W86" s="409"/>
    </row>
    <row r="87" spans="1:23" s="409" customFormat="1">
      <c r="A87" s="431"/>
      <c r="B87" s="431"/>
      <c r="C87" s="436"/>
      <c r="D87" s="436"/>
      <c r="E87" s="439"/>
      <c r="F87" s="436"/>
      <c r="G87" s="436"/>
      <c r="H87" s="436"/>
      <c r="I87" s="436"/>
      <c r="J87" s="436"/>
      <c r="K87" s="436"/>
      <c r="L87" s="439"/>
      <c r="M87" s="439"/>
      <c r="N87" s="447"/>
    </row>
    <row r="88" spans="1:23" s="409" customFormat="1" ht="15" customHeight="1">
      <c r="A88" s="1249"/>
      <c r="B88" s="1249"/>
      <c r="C88" s="1249"/>
      <c r="D88" s="1249"/>
      <c r="E88" s="1249"/>
      <c r="F88" s="1249"/>
      <c r="G88" s="1249"/>
      <c r="H88" s="1249"/>
      <c r="I88" s="1249"/>
      <c r="J88" s="1249"/>
      <c r="K88" s="1249"/>
      <c r="L88" s="1249"/>
      <c r="M88" s="1249"/>
      <c r="N88" s="1249"/>
    </row>
    <row r="89" spans="1:23" s="409" customFormat="1">
      <c r="A89" s="1249"/>
      <c r="B89" s="1249"/>
      <c r="C89" s="1249"/>
      <c r="D89" s="1249"/>
      <c r="E89" s="1249"/>
      <c r="F89" s="1249"/>
      <c r="G89" s="1249"/>
      <c r="H89" s="1249"/>
      <c r="I89" s="1249"/>
      <c r="J89" s="1249"/>
      <c r="K89" s="1249"/>
      <c r="L89" s="1249"/>
      <c r="M89" s="1249"/>
      <c r="N89" s="1249"/>
    </row>
    <row r="90" spans="1:23" s="409" customFormat="1">
      <c r="E90" s="410"/>
    </row>
    <row r="91" spans="1:23">
      <c r="A91" s="409"/>
      <c r="B91" s="409"/>
      <c r="C91" s="409"/>
      <c r="D91" s="409"/>
      <c r="E91" s="410"/>
      <c r="F91" s="409"/>
      <c r="G91" s="409"/>
      <c r="H91" s="409"/>
      <c r="I91" s="409"/>
      <c r="J91" s="409"/>
      <c r="K91" s="409"/>
      <c r="L91" s="409"/>
      <c r="M91" s="409"/>
      <c r="N91" s="409"/>
      <c r="O91" s="409"/>
      <c r="P91" s="409"/>
      <c r="Q91" s="409"/>
      <c r="R91" s="409"/>
      <c r="S91" s="409"/>
      <c r="T91" s="409"/>
      <c r="U91" s="409"/>
      <c r="V91" s="409"/>
      <c r="W91" s="409"/>
    </row>
    <row r="92" spans="1:23">
      <c r="A92" s="409"/>
      <c r="B92" s="409"/>
      <c r="C92" s="409"/>
      <c r="D92" s="409"/>
      <c r="E92" s="410"/>
      <c r="F92" s="409"/>
      <c r="G92" s="409"/>
      <c r="H92" s="409"/>
      <c r="I92" s="409"/>
      <c r="J92" s="409"/>
      <c r="K92" s="409"/>
      <c r="L92" s="409"/>
      <c r="M92" s="409"/>
      <c r="N92" s="409"/>
      <c r="O92" s="409"/>
      <c r="P92" s="409"/>
      <c r="Q92" s="409"/>
      <c r="R92" s="409"/>
      <c r="S92" s="409"/>
      <c r="T92" s="409"/>
      <c r="U92" s="409"/>
      <c r="V92" s="409"/>
      <c r="W92" s="409"/>
    </row>
    <row r="93" spans="1:23">
      <c r="A93" s="409"/>
      <c r="B93" s="409"/>
      <c r="C93" s="409"/>
      <c r="D93" s="409"/>
      <c r="E93" s="410"/>
      <c r="F93" s="409"/>
      <c r="G93" s="409"/>
      <c r="H93" s="409"/>
      <c r="I93" s="409"/>
      <c r="J93" s="409"/>
      <c r="K93" s="409"/>
      <c r="L93" s="409"/>
      <c r="M93" s="409"/>
      <c r="N93" s="409"/>
      <c r="O93" s="409"/>
      <c r="P93" s="409"/>
      <c r="Q93" s="409"/>
      <c r="R93" s="409"/>
      <c r="S93" s="409"/>
      <c r="T93" s="409"/>
      <c r="U93" s="409"/>
      <c r="V93" s="409"/>
      <c r="W93" s="409"/>
    </row>
    <row r="94" spans="1:23">
      <c r="A94" s="409"/>
      <c r="B94" s="409"/>
      <c r="C94" s="409"/>
      <c r="D94" s="409"/>
      <c r="E94" s="410"/>
      <c r="F94" s="409"/>
      <c r="G94" s="409"/>
      <c r="H94" s="409"/>
      <c r="I94" s="409"/>
      <c r="J94" s="409"/>
      <c r="K94" s="409"/>
      <c r="L94" s="409"/>
      <c r="M94" s="409"/>
      <c r="N94" s="409"/>
      <c r="O94" s="409"/>
      <c r="P94" s="409"/>
      <c r="Q94" s="409"/>
      <c r="R94" s="409"/>
      <c r="S94" s="409"/>
      <c r="T94" s="409"/>
      <c r="U94" s="409"/>
      <c r="V94" s="409"/>
      <c r="W94" s="409"/>
    </row>
    <row r="95" spans="1:23">
      <c r="A95" s="409"/>
      <c r="B95" s="409"/>
      <c r="C95" s="409"/>
      <c r="D95" s="409"/>
      <c r="E95" s="410"/>
      <c r="F95" s="409"/>
      <c r="G95" s="409"/>
      <c r="H95" s="409"/>
      <c r="I95" s="409"/>
      <c r="J95" s="409"/>
      <c r="K95" s="409"/>
      <c r="L95" s="409"/>
      <c r="M95" s="409"/>
      <c r="N95" s="409"/>
      <c r="O95" s="409"/>
      <c r="P95" s="409"/>
      <c r="Q95" s="409"/>
      <c r="R95" s="409"/>
      <c r="S95" s="409"/>
      <c r="T95" s="409"/>
      <c r="U95" s="409"/>
      <c r="V95" s="409"/>
      <c r="W95" s="409"/>
    </row>
    <row r="96" spans="1:23">
      <c r="A96" s="409"/>
      <c r="B96" s="409"/>
      <c r="C96" s="409"/>
      <c r="D96" s="409"/>
      <c r="E96" s="410"/>
      <c r="F96" s="409"/>
      <c r="G96" s="409"/>
      <c r="H96" s="409"/>
      <c r="I96" s="409"/>
      <c r="J96" s="409"/>
      <c r="K96" s="409"/>
      <c r="L96" s="409"/>
      <c r="M96" s="409"/>
      <c r="N96" s="409"/>
      <c r="O96" s="409"/>
      <c r="P96" s="409"/>
      <c r="Q96" s="409"/>
      <c r="R96" s="409"/>
      <c r="S96" s="409"/>
      <c r="T96" s="409"/>
      <c r="U96" s="409"/>
      <c r="V96" s="409"/>
      <c r="W96" s="409"/>
    </row>
    <row r="97" spans="1:23">
      <c r="A97" s="409"/>
      <c r="B97" s="409"/>
      <c r="C97" s="409"/>
      <c r="D97" s="409"/>
      <c r="E97" s="410"/>
      <c r="F97" s="409"/>
      <c r="G97" s="409"/>
      <c r="H97" s="409"/>
      <c r="I97" s="409"/>
      <c r="J97" s="409"/>
      <c r="K97" s="409"/>
      <c r="L97" s="409"/>
      <c r="M97" s="409"/>
      <c r="N97" s="409"/>
      <c r="O97" s="409"/>
      <c r="P97" s="409"/>
      <c r="Q97" s="409"/>
      <c r="R97" s="409"/>
      <c r="S97" s="409"/>
      <c r="T97" s="409"/>
      <c r="U97" s="409"/>
      <c r="V97" s="409"/>
      <c r="W97" s="409"/>
    </row>
    <row r="98" spans="1:23">
      <c r="A98" s="409"/>
      <c r="B98" s="409"/>
      <c r="C98" s="409"/>
      <c r="D98" s="409"/>
      <c r="E98" s="410"/>
      <c r="F98" s="409"/>
      <c r="G98" s="409"/>
      <c r="H98" s="409"/>
      <c r="I98" s="409"/>
      <c r="J98" s="409"/>
      <c r="K98" s="409"/>
      <c r="L98" s="409"/>
      <c r="M98" s="409"/>
      <c r="N98" s="409"/>
      <c r="O98" s="409"/>
      <c r="P98" s="409"/>
      <c r="Q98" s="409"/>
      <c r="R98" s="409"/>
      <c r="S98" s="409"/>
      <c r="T98" s="409"/>
      <c r="U98" s="409"/>
      <c r="V98" s="409"/>
      <c r="W98" s="409"/>
    </row>
    <row r="99" spans="1:23">
      <c r="A99" s="409"/>
      <c r="B99" s="409"/>
      <c r="C99" s="409"/>
      <c r="D99" s="409"/>
      <c r="E99" s="410"/>
      <c r="F99" s="409"/>
      <c r="G99" s="409"/>
      <c r="H99" s="409"/>
      <c r="I99" s="409"/>
      <c r="J99" s="409"/>
      <c r="K99" s="409"/>
      <c r="L99" s="409"/>
      <c r="M99" s="409"/>
      <c r="N99" s="409"/>
      <c r="O99" s="409"/>
      <c r="P99" s="409"/>
      <c r="Q99" s="409"/>
      <c r="R99" s="409"/>
      <c r="S99" s="409"/>
      <c r="T99" s="409"/>
      <c r="U99" s="409"/>
      <c r="V99" s="409"/>
      <c r="W99" s="409"/>
    </row>
    <row r="100" spans="1:23">
      <c r="A100" s="409"/>
      <c r="B100" s="409"/>
      <c r="C100" s="409"/>
      <c r="D100" s="409"/>
      <c r="E100" s="410"/>
      <c r="F100" s="409"/>
      <c r="G100" s="409"/>
      <c r="H100" s="409"/>
      <c r="I100" s="409"/>
      <c r="J100" s="409"/>
      <c r="K100" s="409"/>
      <c r="L100" s="409"/>
      <c r="M100" s="409"/>
      <c r="N100" s="409"/>
      <c r="O100" s="409"/>
      <c r="P100" s="409"/>
      <c r="Q100" s="409"/>
      <c r="R100" s="409"/>
      <c r="S100" s="409"/>
      <c r="T100" s="409"/>
      <c r="U100" s="409"/>
      <c r="V100" s="409"/>
      <c r="W100" s="409"/>
    </row>
    <row r="101" spans="1:23">
      <c r="A101" s="409"/>
      <c r="B101" s="409"/>
      <c r="C101" s="409"/>
      <c r="D101" s="409"/>
      <c r="E101" s="410"/>
      <c r="F101" s="409"/>
      <c r="G101" s="409"/>
      <c r="H101" s="409"/>
      <c r="I101" s="409"/>
      <c r="J101" s="409"/>
      <c r="K101" s="409"/>
      <c r="L101" s="409"/>
      <c r="M101" s="409"/>
      <c r="N101" s="409"/>
      <c r="O101" s="409"/>
      <c r="P101" s="409"/>
      <c r="Q101" s="409"/>
      <c r="R101" s="409"/>
      <c r="S101" s="409"/>
      <c r="T101" s="409"/>
      <c r="U101" s="409"/>
      <c r="V101" s="409"/>
      <c r="W101" s="409"/>
    </row>
    <row r="102" spans="1:23">
      <c r="A102" s="409"/>
      <c r="B102" s="409"/>
      <c r="C102" s="409"/>
      <c r="D102" s="409"/>
      <c r="E102" s="410"/>
      <c r="F102" s="409"/>
      <c r="G102" s="409"/>
      <c r="H102" s="409"/>
      <c r="I102" s="409"/>
      <c r="J102" s="409"/>
      <c r="K102" s="409"/>
      <c r="L102" s="409"/>
      <c r="M102" s="409"/>
      <c r="N102" s="409"/>
      <c r="O102" s="409"/>
      <c r="P102" s="409"/>
      <c r="Q102" s="409"/>
      <c r="R102" s="409"/>
      <c r="S102" s="409"/>
      <c r="T102" s="409"/>
      <c r="U102" s="409"/>
      <c r="V102" s="409"/>
      <c r="W102" s="409"/>
    </row>
    <row r="103" spans="1:23">
      <c r="A103" s="409"/>
      <c r="B103" s="409"/>
      <c r="C103" s="409"/>
      <c r="D103" s="409"/>
      <c r="E103" s="410"/>
      <c r="F103" s="409"/>
      <c r="G103" s="409"/>
      <c r="H103" s="409"/>
      <c r="I103" s="409"/>
      <c r="J103" s="409"/>
      <c r="K103" s="409"/>
      <c r="L103" s="409"/>
      <c r="M103" s="409"/>
      <c r="N103" s="409"/>
      <c r="O103" s="409"/>
      <c r="P103" s="409"/>
      <c r="Q103" s="409"/>
      <c r="R103" s="409"/>
      <c r="S103" s="409"/>
      <c r="T103" s="409"/>
      <c r="U103" s="409"/>
      <c r="V103" s="409"/>
      <c r="W103" s="409"/>
    </row>
    <row r="104" spans="1:23">
      <c r="A104" s="409"/>
      <c r="B104" s="409"/>
      <c r="C104" s="409"/>
      <c r="D104" s="409"/>
      <c r="E104" s="410"/>
      <c r="F104" s="409"/>
      <c r="G104" s="409"/>
      <c r="H104" s="409"/>
      <c r="I104" s="409"/>
      <c r="J104" s="409"/>
      <c r="K104" s="409"/>
      <c r="L104" s="409"/>
      <c r="M104" s="409"/>
      <c r="N104" s="409"/>
      <c r="O104" s="409"/>
      <c r="P104" s="409"/>
      <c r="Q104" s="409"/>
      <c r="R104" s="409"/>
      <c r="S104" s="409"/>
      <c r="T104" s="409"/>
      <c r="U104" s="409"/>
      <c r="V104" s="409"/>
      <c r="W104" s="409"/>
    </row>
    <row r="105" spans="1:23">
      <c r="A105" s="409"/>
      <c r="B105" s="409"/>
      <c r="C105" s="409"/>
      <c r="D105" s="409"/>
      <c r="E105" s="410"/>
      <c r="F105" s="409"/>
      <c r="G105" s="409"/>
      <c r="H105" s="409"/>
      <c r="I105" s="409"/>
      <c r="J105" s="409"/>
      <c r="K105" s="409"/>
      <c r="L105" s="409"/>
      <c r="M105" s="409"/>
      <c r="N105" s="409"/>
      <c r="O105" s="409"/>
      <c r="P105" s="409"/>
      <c r="Q105" s="409"/>
      <c r="R105" s="409"/>
      <c r="S105" s="409"/>
      <c r="T105" s="409"/>
      <c r="U105" s="409"/>
      <c r="V105" s="409"/>
      <c r="W105" s="409"/>
    </row>
    <row r="106" spans="1:23">
      <c r="A106" s="409"/>
      <c r="B106" s="409"/>
      <c r="C106" s="409"/>
      <c r="D106" s="409"/>
      <c r="E106" s="410"/>
      <c r="F106" s="409"/>
      <c r="G106" s="409"/>
      <c r="H106" s="409"/>
      <c r="I106" s="409"/>
      <c r="J106" s="409"/>
      <c r="K106" s="409"/>
      <c r="L106" s="409"/>
      <c r="M106" s="409"/>
      <c r="N106" s="409"/>
      <c r="O106" s="409"/>
      <c r="P106" s="409"/>
      <c r="Q106" s="409"/>
      <c r="R106" s="409"/>
      <c r="S106" s="409"/>
      <c r="T106" s="409"/>
      <c r="U106" s="409"/>
      <c r="V106" s="409"/>
      <c r="W106" s="409"/>
    </row>
    <row r="107" spans="1:23">
      <c r="A107" s="409"/>
      <c r="B107" s="409"/>
      <c r="C107" s="409"/>
      <c r="D107" s="409"/>
      <c r="E107" s="410"/>
      <c r="F107" s="409"/>
      <c r="G107" s="409"/>
      <c r="H107" s="409"/>
      <c r="I107" s="409"/>
      <c r="J107" s="409"/>
      <c r="K107" s="409"/>
      <c r="L107" s="409"/>
      <c r="M107" s="409"/>
      <c r="N107" s="409"/>
      <c r="O107" s="409"/>
      <c r="P107" s="409"/>
      <c r="Q107" s="409"/>
      <c r="R107" s="409"/>
      <c r="S107" s="409"/>
      <c r="T107" s="409"/>
      <c r="U107" s="409"/>
      <c r="V107" s="409"/>
      <c r="W107" s="409"/>
    </row>
    <row r="108" spans="1:23">
      <c r="A108" s="409"/>
      <c r="B108" s="409"/>
      <c r="C108" s="409"/>
      <c r="D108" s="409"/>
      <c r="E108" s="410"/>
      <c r="F108" s="409"/>
      <c r="G108" s="409"/>
      <c r="H108" s="409"/>
      <c r="I108" s="409"/>
      <c r="J108" s="409"/>
      <c r="K108" s="409"/>
      <c r="L108" s="409"/>
      <c r="M108" s="409"/>
      <c r="N108" s="409"/>
      <c r="O108" s="409"/>
      <c r="P108" s="409"/>
      <c r="Q108" s="409"/>
      <c r="R108" s="409"/>
      <c r="S108" s="409"/>
      <c r="T108" s="409"/>
      <c r="U108" s="409"/>
      <c r="V108" s="409"/>
      <c r="W108" s="409"/>
    </row>
    <row r="109" spans="1:23">
      <c r="A109" s="409"/>
      <c r="B109" s="409"/>
      <c r="C109" s="409"/>
      <c r="D109" s="409"/>
      <c r="E109" s="410"/>
      <c r="F109" s="409"/>
      <c r="G109" s="409"/>
      <c r="H109" s="409"/>
      <c r="I109" s="409"/>
      <c r="J109" s="409"/>
      <c r="K109" s="409"/>
      <c r="L109" s="409"/>
      <c r="M109" s="409"/>
      <c r="N109" s="409"/>
      <c r="O109" s="409"/>
      <c r="P109" s="409"/>
      <c r="Q109" s="409"/>
      <c r="R109" s="409"/>
      <c r="S109" s="409"/>
      <c r="T109" s="409"/>
      <c r="U109" s="409"/>
      <c r="V109" s="409"/>
      <c r="W109" s="409"/>
    </row>
    <row r="110" spans="1:23">
      <c r="A110" s="409"/>
      <c r="B110" s="409"/>
      <c r="C110" s="409"/>
      <c r="D110" s="409"/>
      <c r="E110" s="410"/>
      <c r="F110" s="409"/>
      <c r="G110" s="409"/>
      <c r="H110" s="409"/>
      <c r="I110" s="409"/>
      <c r="J110" s="409"/>
      <c r="K110" s="409"/>
      <c r="L110" s="409"/>
      <c r="M110" s="409"/>
      <c r="N110" s="409"/>
      <c r="O110" s="409"/>
      <c r="P110" s="409"/>
      <c r="Q110" s="409"/>
      <c r="R110" s="409"/>
      <c r="S110" s="409"/>
      <c r="T110" s="409"/>
      <c r="U110" s="409"/>
      <c r="V110" s="409"/>
      <c r="W110" s="409"/>
    </row>
    <row r="111" spans="1:23">
      <c r="A111" s="409"/>
      <c r="B111" s="409"/>
      <c r="C111" s="409"/>
      <c r="D111" s="409"/>
      <c r="E111" s="410"/>
      <c r="F111" s="409"/>
      <c r="G111" s="409"/>
      <c r="H111" s="409"/>
      <c r="I111" s="409"/>
      <c r="J111" s="409"/>
      <c r="K111" s="409"/>
      <c r="L111" s="409"/>
      <c r="M111" s="409"/>
      <c r="N111" s="409"/>
      <c r="O111" s="409"/>
      <c r="P111" s="409"/>
      <c r="Q111" s="409"/>
      <c r="R111" s="409"/>
      <c r="S111" s="409"/>
      <c r="T111" s="409"/>
      <c r="U111" s="409"/>
      <c r="V111" s="409"/>
      <c r="W111" s="409"/>
    </row>
    <row r="112" spans="1:23">
      <c r="A112" s="409"/>
      <c r="B112" s="409"/>
      <c r="C112" s="409"/>
      <c r="D112" s="409"/>
      <c r="E112" s="410"/>
      <c r="F112" s="409"/>
      <c r="G112" s="409"/>
      <c r="H112" s="409"/>
      <c r="I112" s="409"/>
      <c r="J112" s="409"/>
      <c r="K112" s="409"/>
      <c r="L112" s="409"/>
      <c r="M112" s="409"/>
      <c r="N112" s="409"/>
      <c r="O112" s="409"/>
      <c r="P112" s="409"/>
      <c r="Q112" s="409"/>
      <c r="R112" s="409"/>
      <c r="S112" s="409"/>
      <c r="T112" s="409"/>
      <c r="U112" s="409"/>
      <c r="V112" s="409"/>
      <c r="W112" s="409"/>
    </row>
    <row r="113" spans="1:23">
      <c r="A113" s="409"/>
      <c r="B113" s="409"/>
      <c r="C113" s="409"/>
      <c r="D113" s="409"/>
      <c r="E113" s="410"/>
      <c r="F113" s="409"/>
      <c r="G113" s="409"/>
      <c r="H113" s="409"/>
      <c r="I113" s="409"/>
      <c r="J113" s="409"/>
      <c r="K113" s="409"/>
      <c r="L113" s="409"/>
      <c r="M113" s="409"/>
      <c r="N113" s="409"/>
      <c r="O113" s="409"/>
      <c r="P113" s="409"/>
      <c r="Q113" s="409"/>
      <c r="R113" s="409"/>
      <c r="S113" s="409"/>
      <c r="T113" s="409"/>
      <c r="U113" s="409"/>
      <c r="V113" s="409"/>
      <c r="W113" s="409"/>
    </row>
    <row r="114" spans="1:23">
      <c r="A114" s="409"/>
      <c r="B114" s="409"/>
      <c r="C114" s="409"/>
      <c r="D114" s="409"/>
      <c r="E114" s="410"/>
      <c r="F114" s="409"/>
      <c r="G114" s="409"/>
      <c r="H114" s="409"/>
      <c r="I114" s="409"/>
      <c r="J114" s="409"/>
      <c r="K114" s="409"/>
      <c r="L114" s="409"/>
      <c r="M114" s="409"/>
      <c r="N114" s="409"/>
      <c r="O114" s="409"/>
      <c r="P114" s="409"/>
      <c r="Q114" s="409"/>
      <c r="R114" s="409"/>
      <c r="S114" s="409"/>
      <c r="T114" s="409"/>
      <c r="U114" s="409"/>
      <c r="V114" s="409"/>
      <c r="W114" s="409"/>
    </row>
    <row r="115" spans="1:23">
      <c r="A115" s="409"/>
      <c r="B115" s="409"/>
      <c r="C115" s="409"/>
      <c r="D115" s="409"/>
      <c r="E115" s="410"/>
      <c r="F115" s="409"/>
      <c r="G115" s="409"/>
      <c r="H115" s="409"/>
      <c r="I115" s="409"/>
      <c r="J115" s="409"/>
      <c r="K115" s="409"/>
      <c r="L115" s="409"/>
      <c r="M115" s="409"/>
      <c r="N115" s="409"/>
      <c r="O115" s="409"/>
      <c r="P115" s="409"/>
      <c r="Q115" s="409"/>
      <c r="R115" s="409"/>
      <c r="S115" s="409"/>
      <c r="T115" s="409"/>
      <c r="U115" s="409"/>
      <c r="V115" s="409"/>
      <c r="W115" s="409"/>
    </row>
    <row r="116" spans="1:23">
      <c r="A116" s="409"/>
      <c r="B116" s="409"/>
      <c r="C116" s="409"/>
      <c r="D116" s="409"/>
      <c r="E116" s="410"/>
      <c r="F116" s="409"/>
      <c r="G116" s="409"/>
      <c r="H116" s="409"/>
      <c r="I116" s="409"/>
      <c r="J116" s="409"/>
      <c r="K116" s="409"/>
      <c r="L116" s="409"/>
      <c r="M116" s="409"/>
      <c r="N116" s="409"/>
      <c r="O116" s="409"/>
      <c r="P116" s="409"/>
      <c r="Q116" s="409"/>
      <c r="R116" s="409"/>
      <c r="S116" s="409"/>
      <c r="T116" s="409"/>
      <c r="U116" s="409"/>
      <c r="V116" s="409"/>
      <c r="W116" s="409"/>
    </row>
    <row r="117" spans="1:23">
      <c r="A117" s="409"/>
      <c r="B117" s="409"/>
      <c r="C117" s="409"/>
      <c r="D117" s="409"/>
      <c r="E117" s="410"/>
      <c r="F117" s="409"/>
      <c r="G117" s="409"/>
      <c r="H117" s="409"/>
      <c r="I117" s="409"/>
      <c r="J117" s="409"/>
      <c r="K117" s="409"/>
      <c r="L117" s="409"/>
      <c r="M117" s="409"/>
      <c r="N117" s="409"/>
      <c r="O117" s="409"/>
      <c r="P117" s="409"/>
      <c r="Q117" s="409"/>
      <c r="R117" s="409"/>
      <c r="S117" s="409"/>
      <c r="T117" s="409"/>
      <c r="U117" s="409"/>
      <c r="V117" s="409"/>
      <c r="W117" s="409"/>
    </row>
    <row r="118" spans="1:23">
      <c r="A118" s="409"/>
      <c r="B118" s="409"/>
      <c r="C118" s="409"/>
      <c r="D118" s="409"/>
      <c r="E118" s="410"/>
      <c r="F118" s="409"/>
      <c r="G118" s="409"/>
      <c r="H118" s="409"/>
      <c r="I118" s="409"/>
      <c r="J118" s="409"/>
      <c r="K118" s="409"/>
      <c r="L118" s="409"/>
      <c r="M118" s="409"/>
      <c r="N118" s="409"/>
      <c r="O118" s="409"/>
      <c r="P118" s="409"/>
      <c r="Q118" s="409"/>
      <c r="R118" s="409"/>
      <c r="S118" s="409"/>
      <c r="T118" s="409"/>
      <c r="U118" s="409"/>
      <c r="V118" s="409"/>
      <c r="W118" s="409"/>
    </row>
    <row r="119" spans="1:23">
      <c r="A119" s="409"/>
      <c r="B119" s="409"/>
      <c r="C119" s="409"/>
      <c r="D119" s="409"/>
      <c r="E119" s="410"/>
      <c r="F119" s="409"/>
      <c r="G119" s="409"/>
      <c r="H119" s="409"/>
      <c r="I119" s="409"/>
      <c r="J119" s="409"/>
      <c r="K119" s="409"/>
      <c r="L119" s="409"/>
      <c r="M119" s="409"/>
      <c r="N119" s="409"/>
      <c r="O119" s="409"/>
      <c r="P119" s="409"/>
      <c r="Q119" s="409"/>
      <c r="R119" s="409"/>
      <c r="S119" s="409"/>
      <c r="T119" s="409"/>
      <c r="U119" s="409"/>
      <c r="V119" s="409"/>
      <c r="W119" s="409"/>
    </row>
    <row r="120" spans="1:23">
      <c r="A120" s="409"/>
      <c r="B120" s="409"/>
      <c r="C120" s="409"/>
      <c r="D120" s="409"/>
      <c r="E120" s="410"/>
      <c r="F120" s="409"/>
      <c r="G120" s="409"/>
      <c r="H120" s="409"/>
      <c r="I120" s="409"/>
      <c r="J120" s="409"/>
      <c r="K120" s="409"/>
      <c r="L120" s="409"/>
      <c r="M120" s="409"/>
      <c r="N120" s="409"/>
      <c r="O120" s="409"/>
      <c r="P120" s="409"/>
      <c r="Q120" s="409"/>
      <c r="R120" s="409"/>
      <c r="S120" s="409"/>
      <c r="T120" s="409"/>
      <c r="U120" s="409"/>
      <c r="V120" s="409"/>
      <c r="W120" s="409"/>
    </row>
    <row r="121" spans="1:23">
      <c r="A121" s="409"/>
      <c r="B121" s="409"/>
      <c r="C121" s="409"/>
      <c r="D121" s="409"/>
      <c r="E121" s="410"/>
      <c r="F121" s="409"/>
      <c r="G121" s="409"/>
      <c r="H121" s="409"/>
      <c r="I121" s="409"/>
      <c r="J121" s="409"/>
      <c r="K121" s="409"/>
      <c r="L121" s="409"/>
      <c r="M121" s="409"/>
      <c r="N121" s="409"/>
      <c r="O121" s="409"/>
      <c r="P121" s="409"/>
      <c r="Q121" s="409"/>
      <c r="R121" s="409"/>
      <c r="S121" s="409"/>
      <c r="T121" s="409"/>
      <c r="U121" s="409"/>
      <c r="V121" s="409"/>
      <c r="W121" s="409"/>
    </row>
    <row r="122" spans="1:23">
      <c r="A122" s="409"/>
      <c r="B122" s="409"/>
      <c r="C122" s="409"/>
      <c r="D122" s="409"/>
      <c r="E122" s="410"/>
      <c r="F122" s="409"/>
      <c r="G122" s="409"/>
      <c r="H122" s="409"/>
      <c r="I122" s="409"/>
      <c r="J122" s="409"/>
      <c r="K122" s="409"/>
      <c r="L122" s="409"/>
      <c r="M122" s="409"/>
      <c r="N122" s="409"/>
      <c r="O122" s="409"/>
      <c r="P122" s="409"/>
      <c r="Q122" s="409"/>
      <c r="R122" s="409"/>
      <c r="S122" s="409"/>
      <c r="T122" s="409"/>
      <c r="U122" s="409"/>
      <c r="V122" s="409"/>
      <c r="W122" s="409"/>
    </row>
    <row r="123" spans="1:23">
      <c r="A123" s="409"/>
      <c r="B123" s="409"/>
      <c r="C123" s="409"/>
      <c r="D123" s="409"/>
      <c r="E123" s="410"/>
      <c r="F123" s="409"/>
      <c r="G123" s="409"/>
      <c r="H123" s="409"/>
      <c r="I123" s="409"/>
      <c r="J123" s="409"/>
      <c r="K123" s="409"/>
      <c r="L123" s="409"/>
      <c r="M123" s="409"/>
      <c r="N123" s="409"/>
      <c r="O123" s="409"/>
      <c r="P123" s="409"/>
      <c r="Q123" s="409"/>
      <c r="R123" s="409"/>
      <c r="S123" s="409"/>
      <c r="T123" s="409"/>
      <c r="U123" s="409"/>
      <c r="V123" s="409"/>
      <c r="W123" s="409"/>
    </row>
    <row r="124" spans="1:23">
      <c r="A124" s="409"/>
      <c r="B124" s="409"/>
      <c r="C124" s="409"/>
      <c r="D124" s="409"/>
      <c r="E124" s="410"/>
      <c r="F124" s="409"/>
      <c r="G124" s="409"/>
      <c r="H124" s="409"/>
      <c r="I124" s="409"/>
      <c r="J124" s="409"/>
      <c r="K124" s="409"/>
      <c r="L124" s="409"/>
      <c r="M124" s="409"/>
      <c r="N124" s="409"/>
      <c r="O124" s="409"/>
      <c r="P124" s="409"/>
      <c r="Q124" s="409"/>
      <c r="R124" s="409"/>
      <c r="S124" s="409"/>
      <c r="T124" s="409"/>
      <c r="U124" s="409"/>
      <c r="V124" s="409"/>
      <c r="W124" s="409"/>
    </row>
    <row r="125" spans="1:23">
      <c r="A125" s="409"/>
      <c r="B125" s="409"/>
      <c r="C125" s="409"/>
      <c r="D125" s="409"/>
      <c r="E125" s="410"/>
      <c r="F125" s="409"/>
      <c r="G125" s="409"/>
      <c r="H125" s="409"/>
      <c r="I125" s="409"/>
      <c r="J125" s="409"/>
      <c r="K125" s="409"/>
      <c r="L125" s="409"/>
      <c r="M125" s="409"/>
      <c r="N125" s="409"/>
      <c r="O125" s="409"/>
      <c r="P125" s="409"/>
      <c r="Q125" s="409"/>
      <c r="R125" s="409"/>
      <c r="S125" s="409"/>
      <c r="T125" s="409"/>
      <c r="U125" s="409"/>
      <c r="V125" s="409"/>
      <c r="W125" s="409"/>
    </row>
    <row r="126" spans="1:23">
      <c r="A126" s="409"/>
      <c r="B126" s="409"/>
      <c r="C126" s="409"/>
      <c r="D126" s="409"/>
      <c r="E126" s="410"/>
      <c r="F126" s="409"/>
      <c r="G126" s="409"/>
      <c r="H126" s="409"/>
      <c r="I126" s="409"/>
      <c r="J126" s="409"/>
      <c r="K126" s="409"/>
      <c r="L126" s="409"/>
      <c r="M126" s="409"/>
      <c r="N126" s="409"/>
      <c r="O126" s="409"/>
      <c r="P126" s="409"/>
      <c r="Q126" s="409"/>
      <c r="R126" s="409"/>
      <c r="S126" s="409"/>
      <c r="T126" s="409"/>
      <c r="U126" s="409"/>
      <c r="V126" s="409"/>
      <c r="W126" s="409"/>
    </row>
    <row r="127" spans="1:23">
      <c r="A127" s="409"/>
      <c r="B127" s="409"/>
      <c r="C127" s="409"/>
      <c r="D127" s="409"/>
      <c r="E127" s="410"/>
      <c r="F127" s="409"/>
      <c r="G127" s="409"/>
      <c r="H127" s="409"/>
      <c r="I127" s="409"/>
      <c r="J127" s="409"/>
      <c r="K127" s="409"/>
      <c r="L127" s="409"/>
      <c r="M127" s="409"/>
      <c r="N127" s="409"/>
      <c r="O127" s="409"/>
      <c r="P127" s="409"/>
      <c r="Q127" s="409"/>
      <c r="R127" s="409"/>
      <c r="S127" s="409"/>
      <c r="T127" s="409"/>
      <c r="U127" s="409"/>
      <c r="V127" s="409"/>
      <c r="W127" s="409"/>
    </row>
    <row r="128" spans="1:23">
      <c r="A128" s="409"/>
      <c r="B128" s="409"/>
      <c r="C128" s="409"/>
      <c r="D128" s="409"/>
      <c r="E128" s="410"/>
      <c r="F128" s="409"/>
      <c r="G128" s="409"/>
      <c r="H128" s="409"/>
      <c r="I128" s="409"/>
      <c r="J128" s="409"/>
      <c r="K128" s="409"/>
      <c r="L128" s="409"/>
      <c r="M128" s="409"/>
      <c r="N128" s="409"/>
      <c r="O128" s="409"/>
      <c r="P128" s="409"/>
      <c r="Q128" s="409"/>
      <c r="R128" s="409"/>
      <c r="S128" s="409"/>
      <c r="T128" s="409"/>
      <c r="U128" s="409"/>
      <c r="V128" s="409"/>
      <c r="W128" s="409"/>
    </row>
    <row r="129" spans="1:23">
      <c r="A129" s="409"/>
      <c r="B129" s="409"/>
      <c r="C129" s="409"/>
      <c r="D129" s="409"/>
      <c r="E129" s="410"/>
      <c r="F129" s="409"/>
      <c r="G129" s="409"/>
      <c r="H129" s="409"/>
      <c r="I129" s="409"/>
      <c r="J129" s="409"/>
      <c r="K129" s="409"/>
      <c r="L129" s="409"/>
      <c r="M129" s="409"/>
      <c r="N129" s="409"/>
      <c r="O129" s="409"/>
      <c r="P129" s="409"/>
      <c r="Q129" s="409"/>
      <c r="R129" s="409"/>
      <c r="S129" s="409"/>
      <c r="T129" s="409"/>
      <c r="U129" s="409"/>
      <c r="V129" s="409"/>
      <c r="W129" s="409"/>
    </row>
    <row r="130" spans="1:23">
      <c r="A130" s="409"/>
      <c r="B130" s="409"/>
      <c r="C130" s="409"/>
      <c r="D130" s="409"/>
      <c r="E130" s="410"/>
      <c r="F130" s="409"/>
      <c r="G130" s="409"/>
      <c r="H130" s="409"/>
      <c r="I130" s="409"/>
      <c r="J130" s="409"/>
      <c r="K130" s="409"/>
      <c r="L130" s="409"/>
      <c r="M130" s="409"/>
      <c r="N130" s="409"/>
      <c r="O130" s="409"/>
      <c r="P130" s="409"/>
      <c r="Q130" s="409"/>
      <c r="R130" s="409"/>
      <c r="S130" s="409"/>
      <c r="T130" s="409"/>
      <c r="U130" s="409"/>
      <c r="V130" s="409"/>
      <c r="W130" s="409"/>
    </row>
    <row r="131" spans="1:23">
      <c r="A131" s="409"/>
      <c r="B131" s="409"/>
      <c r="C131" s="409"/>
      <c r="D131" s="409"/>
      <c r="E131" s="410"/>
      <c r="F131" s="409"/>
      <c r="G131" s="409"/>
      <c r="H131" s="409"/>
      <c r="I131" s="409"/>
      <c r="J131" s="409"/>
      <c r="K131" s="409"/>
      <c r="L131" s="409"/>
      <c r="M131" s="409"/>
      <c r="N131" s="409"/>
      <c r="O131" s="409"/>
      <c r="P131" s="409"/>
      <c r="Q131" s="409"/>
      <c r="R131" s="409"/>
      <c r="S131" s="409"/>
      <c r="T131" s="409"/>
      <c r="U131" s="409"/>
      <c r="V131" s="409"/>
      <c r="W131" s="409"/>
    </row>
    <row r="132" spans="1:23">
      <c r="A132" s="409"/>
      <c r="B132" s="409"/>
      <c r="C132" s="409"/>
      <c r="D132" s="409"/>
      <c r="E132" s="410"/>
      <c r="F132" s="409"/>
      <c r="G132" s="409"/>
      <c r="H132" s="409"/>
      <c r="I132" s="409"/>
      <c r="J132" s="409"/>
      <c r="K132" s="409"/>
      <c r="L132" s="409"/>
      <c r="M132" s="409"/>
      <c r="N132" s="409"/>
      <c r="O132" s="409"/>
      <c r="P132" s="409"/>
      <c r="Q132" s="409"/>
      <c r="R132" s="409"/>
      <c r="S132" s="409"/>
      <c r="T132" s="409"/>
      <c r="U132" s="409"/>
      <c r="V132" s="409"/>
      <c r="W132" s="409"/>
    </row>
    <row r="133" spans="1:23">
      <c r="A133" s="409"/>
      <c r="B133" s="409"/>
      <c r="C133" s="409"/>
      <c r="D133" s="409"/>
      <c r="E133" s="410"/>
      <c r="F133" s="409"/>
      <c r="G133" s="409"/>
      <c r="H133" s="409"/>
      <c r="I133" s="409"/>
      <c r="J133" s="409"/>
      <c r="K133" s="409"/>
      <c r="L133" s="409"/>
      <c r="M133" s="409"/>
      <c r="N133" s="409"/>
      <c r="O133" s="409"/>
      <c r="P133" s="409"/>
      <c r="Q133" s="409"/>
      <c r="R133" s="409"/>
      <c r="S133" s="409"/>
      <c r="T133" s="409"/>
      <c r="U133" s="409"/>
      <c r="V133" s="409"/>
      <c r="W133" s="409"/>
    </row>
    <row r="134" spans="1:23">
      <c r="A134" s="409"/>
      <c r="B134" s="409"/>
      <c r="C134" s="409"/>
      <c r="D134" s="409"/>
      <c r="E134" s="410"/>
      <c r="F134" s="409"/>
      <c r="G134" s="409"/>
      <c r="H134" s="409"/>
      <c r="I134" s="409"/>
      <c r="J134" s="409"/>
      <c r="K134" s="409"/>
      <c r="L134" s="409"/>
      <c r="M134" s="409"/>
      <c r="N134" s="409"/>
      <c r="O134" s="409"/>
      <c r="P134" s="409"/>
      <c r="Q134" s="409"/>
      <c r="R134" s="409"/>
      <c r="S134" s="409"/>
      <c r="T134" s="409"/>
      <c r="U134" s="409"/>
      <c r="V134" s="409"/>
      <c r="W134" s="409"/>
    </row>
    <row r="135" spans="1:23">
      <c r="A135" s="409"/>
      <c r="B135" s="409"/>
      <c r="C135" s="409"/>
      <c r="D135" s="409"/>
      <c r="E135" s="410"/>
      <c r="F135" s="409"/>
      <c r="G135" s="409"/>
      <c r="H135" s="409"/>
      <c r="I135" s="409"/>
      <c r="J135" s="409"/>
      <c r="K135" s="409"/>
      <c r="L135" s="409"/>
      <c r="M135" s="409"/>
      <c r="N135" s="409"/>
      <c r="O135" s="409"/>
      <c r="P135" s="409"/>
      <c r="Q135" s="409"/>
      <c r="R135" s="409"/>
      <c r="S135" s="409"/>
      <c r="T135" s="409"/>
      <c r="U135" s="409"/>
      <c r="V135" s="409"/>
      <c r="W135" s="409"/>
    </row>
    <row r="136" spans="1:23">
      <c r="A136" s="409"/>
      <c r="B136" s="409"/>
      <c r="C136" s="409"/>
      <c r="D136" s="409"/>
      <c r="E136" s="410"/>
      <c r="F136" s="409"/>
      <c r="G136" s="409"/>
      <c r="H136" s="409"/>
      <c r="I136" s="409"/>
      <c r="J136" s="409"/>
      <c r="K136" s="409"/>
      <c r="L136" s="409"/>
      <c r="M136" s="409"/>
      <c r="N136" s="409"/>
      <c r="O136" s="409"/>
      <c r="P136" s="409"/>
      <c r="Q136" s="409"/>
      <c r="R136" s="409"/>
      <c r="S136" s="409"/>
      <c r="T136" s="409"/>
      <c r="U136" s="409"/>
      <c r="V136" s="409"/>
      <c r="W136" s="409"/>
    </row>
    <row r="137" spans="1:23">
      <c r="A137" s="409"/>
      <c r="B137" s="409"/>
      <c r="C137" s="409"/>
      <c r="D137" s="409"/>
      <c r="E137" s="410"/>
      <c r="F137" s="409"/>
      <c r="G137" s="409"/>
      <c r="H137" s="409"/>
      <c r="I137" s="409"/>
      <c r="J137" s="409"/>
      <c r="K137" s="409"/>
      <c r="L137" s="409"/>
      <c r="M137" s="409"/>
      <c r="N137" s="409"/>
      <c r="O137" s="409"/>
      <c r="P137" s="409"/>
      <c r="Q137" s="409"/>
      <c r="R137" s="409"/>
      <c r="S137" s="409"/>
      <c r="T137" s="409"/>
      <c r="U137" s="409"/>
      <c r="V137" s="409"/>
      <c r="W137" s="409"/>
    </row>
    <row r="138" spans="1:23">
      <c r="A138" s="409"/>
      <c r="B138" s="409"/>
      <c r="C138" s="409"/>
      <c r="D138" s="409"/>
      <c r="E138" s="410"/>
      <c r="F138" s="409"/>
      <c r="G138" s="409"/>
      <c r="H138" s="409"/>
      <c r="I138" s="409"/>
      <c r="J138" s="409"/>
      <c r="K138" s="409"/>
      <c r="L138" s="409"/>
      <c r="M138" s="409"/>
      <c r="N138" s="409"/>
      <c r="O138" s="409"/>
      <c r="P138" s="409"/>
      <c r="Q138" s="409"/>
      <c r="R138" s="409"/>
      <c r="S138" s="409"/>
      <c r="T138" s="409"/>
      <c r="U138" s="409"/>
      <c r="V138" s="409"/>
      <c r="W138" s="409"/>
    </row>
    <row r="139" spans="1:23">
      <c r="A139" s="409"/>
      <c r="B139" s="409"/>
      <c r="C139" s="409"/>
      <c r="D139" s="409"/>
      <c r="E139" s="410"/>
      <c r="F139" s="409"/>
      <c r="G139" s="409"/>
      <c r="H139" s="409"/>
      <c r="I139" s="409"/>
      <c r="J139" s="409"/>
      <c r="K139" s="409"/>
      <c r="L139" s="409"/>
      <c r="M139" s="409"/>
      <c r="N139" s="409"/>
      <c r="O139" s="409"/>
      <c r="P139" s="409"/>
      <c r="Q139" s="409"/>
      <c r="R139" s="409"/>
      <c r="S139" s="409"/>
      <c r="T139" s="409"/>
      <c r="U139" s="409"/>
      <c r="V139" s="409"/>
      <c r="W139" s="409"/>
    </row>
    <row r="140" spans="1:23">
      <c r="A140" s="409"/>
      <c r="B140" s="409"/>
      <c r="C140" s="409"/>
      <c r="D140" s="409"/>
      <c r="E140" s="410"/>
      <c r="F140" s="409"/>
      <c r="G140" s="409"/>
      <c r="H140" s="409"/>
      <c r="I140" s="409"/>
      <c r="J140" s="409"/>
      <c r="K140" s="409"/>
      <c r="L140" s="409"/>
      <c r="M140" s="409"/>
      <c r="N140" s="409"/>
      <c r="O140" s="409"/>
      <c r="P140" s="409"/>
      <c r="Q140" s="409"/>
      <c r="R140" s="409"/>
      <c r="S140" s="409"/>
      <c r="T140" s="409"/>
      <c r="U140" s="409"/>
      <c r="V140" s="409"/>
      <c r="W140" s="409"/>
    </row>
    <row r="141" spans="1:23">
      <c r="A141" s="409"/>
      <c r="B141" s="409"/>
      <c r="C141" s="409"/>
      <c r="D141" s="409"/>
      <c r="E141" s="410"/>
      <c r="F141" s="409"/>
      <c r="G141" s="409"/>
      <c r="H141" s="409"/>
      <c r="I141" s="409"/>
      <c r="J141" s="409"/>
      <c r="K141" s="409"/>
      <c r="L141" s="409"/>
      <c r="M141" s="409"/>
      <c r="N141" s="409"/>
      <c r="O141" s="409"/>
      <c r="P141" s="409"/>
      <c r="Q141" s="409"/>
      <c r="R141" s="409"/>
      <c r="S141" s="409"/>
      <c r="T141" s="409"/>
      <c r="U141" s="409"/>
      <c r="V141" s="409"/>
      <c r="W141" s="409"/>
    </row>
    <row r="142" spans="1:23">
      <c r="A142" s="409"/>
      <c r="B142" s="409"/>
      <c r="C142" s="409"/>
      <c r="D142" s="409"/>
      <c r="E142" s="410"/>
      <c r="F142" s="409"/>
      <c r="G142" s="409"/>
      <c r="H142" s="409"/>
      <c r="I142" s="409"/>
      <c r="J142" s="409"/>
      <c r="K142" s="409"/>
      <c r="L142" s="409"/>
      <c r="M142" s="409"/>
      <c r="N142" s="409"/>
      <c r="O142" s="409"/>
      <c r="P142" s="409"/>
      <c r="Q142" s="409"/>
      <c r="R142" s="409"/>
      <c r="S142" s="409"/>
      <c r="T142" s="409"/>
      <c r="U142" s="409"/>
      <c r="V142" s="409"/>
      <c r="W142" s="409"/>
    </row>
    <row r="143" spans="1:23">
      <c r="A143" s="409"/>
      <c r="B143" s="409"/>
      <c r="C143" s="409"/>
      <c r="D143" s="409"/>
      <c r="E143" s="410"/>
      <c r="F143" s="409"/>
      <c r="G143" s="409"/>
      <c r="H143" s="409"/>
      <c r="I143" s="409"/>
      <c r="J143" s="409"/>
      <c r="K143" s="409"/>
      <c r="L143" s="409"/>
      <c r="M143" s="409"/>
      <c r="N143" s="409"/>
      <c r="O143" s="409"/>
      <c r="P143" s="409"/>
      <c r="Q143" s="409"/>
      <c r="R143" s="409"/>
      <c r="S143" s="409"/>
      <c r="T143" s="409"/>
      <c r="U143" s="409"/>
      <c r="V143" s="409"/>
      <c r="W143" s="409"/>
    </row>
    <row r="144" spans="1:23">
      <c r="A144" s="409"/>
      <c r="B144" s="409"/>
      <c r="C144" s="409"/>
      <c r="D144" s="409"/>
      <c r="E144" s="410"/>
      <c r="F144" s="409"/>
      <c r="G144" s="409"/>
      <c r="H144" s="409"/>
      <c r="I144" s="409"/>
      <c r="J144" s="409"/>
      <c r="K144" s="409"/>
      <c r="L144" s="409"/>
      <c r="M144" s="409"/>
      <c r="N144" s="409"/>
      <c r="O144" s="409"/>
      <c r="P144" s="409"/>
      <c r="Q144" s="409"/>
      <c r="R144" s="409"/>
      <c r="S144" s="409"/>
      <c r="T144" s="409"/>
      <c r="U144" s="409"/>
      <c r="V144" s="409"/>
      <c r="W144" s="409"/>
    </row>
    <row r="145" spans="1:23">
      <c r="A145" s="409"/>
      <c r="B145" s="409"/>
      <c r="C145" s="409"/>
      <c r="D145" s="409"/>
      <c r="E145" s="410"/>
      <c r="F145" s="409"/>
      <c r="G145" s="409"/>
      <c r="H145" s="409"/>
      <c r="I145" s="409"/>
      <c r="J145" s="409"/>
      <c r="K145" s="409"/>
      <c r="L145" s="409"/>
      <c r="M145" s="409"/>
      <c r="N145" s="409"/>
      <c r="O145" s="409"/>
      <c r="P145" s="409"/>
      <c r="Q145" s="409"/>
      <c r="R145" s="409"/>
      <c r="S145" s="409"/>
      <c r="T145" s="409"/>
      <c r="U145" s="409"/>
      <c r="V145" s="409"/>
      <c r="W145" s="409"/>
    </row>
    <row r="146" spans="1:23">
      <c r="A146" s="409"/>
      <c r="B146" s="409"/>
      <c r="C146" s="409"/>
      <c r="D146" s="409"/>
      <c r="E146" s="410"/>
      <c r="F146" s="409"/>
      <c r="G146" s="409"/>
      <c r="H146" s="409"/>
      <c r="I146" s="409"/>
      <c r="J146" s="409"/>
      <c r="K146" s="409"/>
      <c r="L146" s="409"/>
      <c r="M146" s="409"/>
      <c r="N146" s="409"/>
      <c r="O146" s="409"/>
      <c r="P146" s="409"/>
      <c r="Q146" s="409"/>
      <c r="R146" s="409"/>
      <c r="S146" s="409"/>
      <c r="T146" s="409"/>
      <c r="U146" s="409"/>
      <c r="V146" s="409"/>
      <c r="W146" s="409"/>
    </row>
    <row r="147" spans="1:23">
      <c r="A147" s="409"/>
      <c r="B147" s="409"/>
      <c r="C147" s="409"/>
      <c r="D147" s="409"/>
      <c r="E147" s="410"/>
      <c r="F147" s="409"/>
      <c r="G147" s="409"/>
      <c r="H147" s="409"/>
      <c r="I147" s="409"/>
      <c r="J147" s="409"/>
      <c r="K147" s="409"/>
      <c r="L147" s="409"/>
      <c r="M147" s="409"/>
      <c r="N147" s="409"/>
      <c r="O147" s="409"/>
      <c r="P147" s="409"/>
      <c r="Q147" s="409"/>
      <c r="R147" s="409"/>
      <c r="S147" s="409"/>
      <c r="T147" s="409"/>
      <c r="U147" s="409"/>
      <c r="V147" s="409"/>
      <c r="W147" s="409"/>
    </row>
    <row r="148" spans="1:23">
      <c r="A148" s="409"/>
      <c r="B148" s="409"/>
      <c r="C148" s="409"/>
      <c r="D148" s="409"/>
      <c r="E148" s="410"/>
      <c r="F148" s="409"/>
      <c r="G148" s="409"/>
      <c r="H148" s="409"/>
      <c r="I148" s="409"/>
      <c r="J148" s="409"/>
      <c r="K148" s="409"/>
      <c r="L148" s="409"/>
      <c r="M148" s="409"/>
      <c r="N148" s="409"/>
      <c r="O148" s="409"/>
      <c r="P148" s="409"/>
      <c r="Q148" s="409"/>
      <c r="R148" s="409"/>
      <c r="S148" s="409"/>
      <c r="T148" s="409"/>
      <c r="U148" s="409"/>
      <c r="V148" s="409"/>
      <c r="W148" s="409"/>
    </row>
    <row r="149" spans="1:23">
      <c r="A149" s="409"/>
      <c r="B149" s="409"/>
      <c r="C149" s="409"/>
      <c r="D149" s="409"/>
      <c r="E149" s="410"/>
      <c r="F149" s="409"/>
      <c r="G149" s="409"/>
      <c r="H149" s="409"/>
      <c r="I149" s="409"/>
      <c r="J149" s="409"/>
      <c r="K149" s="409"/>
      <c r="L149" s="409"/>
      <c r="M149" s="409"/>
      <c r="N149" s="409"/>
      <c r="O149" s="409"/>
      <c r="P149" s="409"/>
      <c r="Q149" s="409"/>
      <c r="R149" s="409"/>
      <c r="S149" s="409"/>
      <c r="T149" s="409"/>
      <c r="U149" s="409"/>
      <c r="V149" s="409"/>
      <c r="W149" s="409"/>
    </row>
    <row r="150" spans="1:23">
      <c r="A150" s="409"/>
      <c r="B150" s="409"/>
      <c r="C150" s="409"/>
      <c r="D150" s="409"/>
      <c r="E150" s="410"/>
      <c r="F150" s="409"/>
      <c r="G150" s="409"/>
      <c r="H150" s="409"/>
      <c r="I150" s="409"/>
      <c r="J150" s="409"/>
      <c r="K150" s="409"/>
      <c r="L150" s="409"/>
      <c r="M150" s="409"/>
      <c r="N150" s="409"/>
      <c r="O150" s="409"/>
      <c r="P150" s="409"/>
      <c r="Q150" s="409"/>
      <c r="R150" s="409"/>
      <c r="S150" s="409"/>
      <c r="T150" s="409"/>
      <c r="U150" s="409"/>
      <c r="V150" s="409"/>
      <c r="W150" s="409"/>
    </row>
    <row r="151" spans="1:23">
      <c r="A151" s="409"/>
      <c r="B151" s="409"/>
      <c r="C151" s="409"/>
      <c r="D151" s="409"/>
      <c r="E151" s="410"/>
      <c r="F151" s="409"/>
      <c r="G151" s="409"/>
      <c r="H151" s="409"/>
      <c r="I151" s="409"/>
      <c r="J151" s="409"/>
      <c r="K151" s="409"/>
      <c r="L151" s="409"/>
      <c r="M151" s="409"/>
      <c r="N151" s="409"/>
      <c r="O151" s="409"/>
      <c r="P151" s="409"/>
      <c r="Q151" s="409"/>
      <c r="R151" s="409"/>
      <c r="S151" s="409"/>
      <c r="T151" s="409"/>
      <c r="U151" s="409"/>
      <c r="V151" s="409"/>
      <c r="W151" s="409"/>
    </row>
    <row r="152" spans="1:23">
      <c r="A152" s="409"/>
      <c r="B152" s="409"/>
      <c r="C152" s="409"/>
      <c r="D152" s="409"/>
      <c r="E152" s="410"/>
      <c r="F152" s="409"/>
      <c r="G152" s="409"/>
      <c r="H152" s="409"/>
      <c r="I152" s="409"/>
      <c r="J152" s="409"/>
      <c r="K152" s="409"/>
      <c r="L152" s="409"/>
      <c r="M152" s="409"/>
      <c r="N152" s="409"/>
      <c r="O152" s="409"/>
      <c r="P152" s="409"/>
      <c r="Q152" s="409"/>
      <c r="R152" s="409"/>
      <c r="S152" s="409"/>
      <c r="T152" s="409"/>
      <c r="U152" s="409"/>
      <c r="V152" s="409"/>
      <c r="W152" s="409"/>
    </row>
    <row r="153" spans="1:23">
      <c r="A153" s="409"/>
      <c r="B153" s="409"/>
      <c r="C153" s="409"/>
      <c r="D153" s="409"/>
      <c r="E153" s="410"/>
      <c r="F153" s="409"/>
      <c r="G153" s="409"/>
      <c r="H153" s="409"/>
      <c r="I153" s="409"/>
      <c r="J153" s="409"/>
      <c r="K153" s="409"/>
      <c r="L153" s="409"/>
      <c r="M153" s="409"/>
      <c r="N153" s="409"/>
      <c r="O153" s="409"/>
      <c r="P153" s="409"/>
      <c r="Q153" s="409"/>
      <c r="R153" s="409"/>
      <c r="S153" s="409"/>
      <c r="T153" s="409"/>
      <c r="U153" s="409"/>
      <c r="V153" s="409"/>
      <c r="W153" s="409"/>
    </row>
    <row r="154" spans="1:23">
      <c r="A154" s="409"/>
      <c r="B154" s="409"/>
      <c r="C154" s="409"/>
      <c r="D154" s="409"/>
      <c r="E154" s="410"/>
      <c r="F154" s="409"/>
      <c r="G154" s="409"/>
      <c r="H154" s="409"/>
      <c r="I154" s="409"/>
      <c r="J154" s="409"/>
      <c r="K154" s="409"/>
      <c r="L154" s="409"/>
      <c r="M154" s="409"/>
      <c r="N154" s="409"/>
      <c r="O154" s="409"/>
      <c r="P154" s="409"/>
      <c r="Q154" s="409"/>
      <c r="R154" s="409"/>
      <c r="S154" s="409"/>
      <c r="T154" s="409"/>
      <c r="U154" s="409"/>
      <c r="V154" s="409"/>
      <c r="W154" s="409"/>
    </row>
    <row r="155" spans="1:23">
      <c r="A155" s="409"/>
      <c r="B155" s="409"/>
      <c r="C155" s="409"/>
      <c r="D155" s="409"/>
      <c r="E155" s="410"/>
      <c r="F155" s="409"/>
      <c r="G155" s="409"/>
      <c r="H155" s="409"/>
      <c r="I155" s="409"/>
      <c r="J155" s="409"/>
      <c r="K155" s="409"/>
      <c r="L155" s="409"/>
      <c r="M155" s="409"/>
      <c r="N155" s="409"/>
      <c r="O155" s="409"/>
      <c r="P155" s="409"/>
      <c r="Q155" s="409"/>
      <c r="R155" s="409"/>
      <c r="S155" s="409"/>
      <c r="T155" s="409"/>
      <c r="U155" s="409"/>
      <c r="V155" s="409"/>
      <c r="W155" s="409"/>
    </row>
    <row r="156" spans="1:23">
      <c r="A156" s="409"/>
      <c r="B156" s="409"/>
      <c r="C156" s="409"/>
      <c r="D156" s="409"/>
      <c r="E156" s="410"/>
      <c r="F156" s="409"/>
      <c r="G156" s="409"/>
      <c r="H156" s="409"/>
      <c r="I156" s="409"/>
      <c r="J156" s="409"/>
      <c r="K156" s="409"/>
      <c r="L156" s="409"/>
      <c r="M156" s="409"/>
      <c r="N156" s="409"/>
      <c r="O156" s="409"/>
      <c r="P156" s="409"/>
      <c r="Q156" s="409"/>
      <c r="R156" s="409"/>
      <c r="S156" s="409"/>
      <c r="T156" s="409"/>
      <c r="U156" s="409"/>
      <c r="V156" s="409"/>
      <c r="W156" s="409"/>
    </row>
    <row r="157" spans="1:23">
      <c r="A157" s="409"/>
      <c r="B157" s="409"/>
      <c r="C157" s="409"/>
      <c r="D157" s="409"/>
      <c r="E157" s="410"/>
      <c r="F157" s="409"/>
      <c r="G157" s="409"/>
      <c r="H157" s="409"/>
      <c r="I157" s="409"/>
      <c r="J157" s="409"/>
      <c r="K157" s="409"/>
      <c r="L157" s="409"/>
      <c r="M157" s="409"/>
      <c r="N157" s="409"/>
      <c r="O157" s="409"/>
      <c r="P157" s="409"/>
      <c r="Q157" s="409"/>
      <c r="R157" s="409"/>
      <c r="S157" s="409"/>
      <c r="T157" s="409"/>
      <c r="U157" s="409"/>
      <c r="V157" s="409"/>
      <c r="W157" s="409"/>
    </row>
    <row r="158" spans="1:23">
      <c r="A158" s="409"/>
      <c r="B158" s="409"/>
      <c r="C158" s="409"/>
      <c r="D158" s="409"/>
      <c r="E158" s="410"/>
      <c r="F158" s="409"/>
      <c r="G158" s="409"/>
      <c r="H158" s="409"/>
      <c r="I158" s="409"/>
      <c r="J158" s="409"/>
      <c r="K158" s="409"/>
      <c r="L158" s="409"/>
      <c r="M158" s="409"/>
      <c r="N158" s="409"/>
      <c r="O158" s="409"/>
      <c r="P158" s="409"/>
      <c r="Q158" s="409"/>
      <c r="R158" s="409"/>
      <c r="S158" s="409"/>
      <c r="T158" s="409"/>
      <c r="U158" s="409"/>
      <c r="V158" s="409"/>
      <c r="W158" s="409"/>
    </row>
    <row r="159" spans="1:23">
      <c r="A159" s="409"/>
      <c r="B159" s="409"/>
      <c r="C159" s="409"/>
      <c r="D159" s="409"/>
      <c r="E159" s="410"/>
      <c r="F159" s="409"/>
      <c r="G159" s="409"/>
      <c r="H159" s="409"/>
      <c r="I159" s="409"/>
      <c r="J159" s="409"/>
      <c r="K159" s="409"/>
      <c r="L159" s="409"/>
      <c r="M159" s="409"/>
      <c r="N159" s="409"/>
      <c r="O159" s="409"/>
      <c r="P159" s="409"/>
      <c r="Q159" s="409"/>
      <c r="R159" s="409"/>
      <c r="S159" s="409"/>
      <c r="T159" s="409"/>
      <c r="U159" s="409"/>
      <c r="V159" s="409"/>
      <c r="W159" s="409"/>
    </row>
    <row r="160" spans="1:23">
      <c r="A160" s="409"/>
      <c r="B160" s="409"/>
      <c r="C160" s="409"/>
      <c r="D160" s="409"/>
      <c r="E160" s="410"/>
      <c r="F160" s="409"/>
      <c r="G160" s="409"/>
      <c r="H160" s="409"/>
      <c r="I160" s="409"/>
      <c r="J160" s="409"/>
      <c r="K160" s="409"/>
      <c r="L160" s="409"/>
      <c r="M160" s="409"/>
      <c r="N160" s="409"/>
      <c r="O160" s="409"/>
      <c r="P160" s="409"/>
      <c r="Q160" s="409"/>
      <c r="R160" s="409"/>
      <c r="S160" s="409"/>
      <c r="T160" s="409"/>
      <c r="U160" s="409"/>
      <c r="V160" s="409"/>
      <c r="W160" s="409"/>
    </row>
    <row r="161" spans="1:23">
      <c r="A161" s="409"/>
      <c r="B161" s="409"/>
      <c r="C161" s="409"/>
      <c r="D161" s="409"/>
      <c r="E161" s="410"/>
      <c r="F161" s="409"/>
      <c r="G161" s="409"/>
      <c r="H161" s="409"/>
      <c r="I161" s="409"/>
      <c r="J161" s="409"/>
      <c r="K161" s="409"/>
      <c r="L161" s="409"/>
      <c r="M161" s="409"/>
      <c r="N161" s="409"/>
      <c r="O161" s="409"/>
      <c r="P161" s="409"/>
      <c r="Q161" s="409"/>
      <c r="R161" s="409"/>
      <c r="S161" s="409"/>
      <c r="T161" s="409"/>
      <c r="U161" s="409"/>
      <c r="V161" s="409"/>
      <c r="W161" s="409"/>
    </row>
    <row r="162" spans="1:23">
      <c r="A162" s="409"/>
      <c r="B162" s="409"/>
      <c r="C162" s="409"/>
      <c r="D162" s="409"/>
      <c r="E162" s="410"/>
      <c r="F162" s="409"/>
      <c r="G162" s="409"/>
      <c r="H162" s="409"/>
      <c r="I162" s="409"/>
      <c r="J162" s="409"/>
      <c r="K162" s="409"/>
      <c r="L162" s="409"/>
      <c r="M162" s="409"/>
      <c r="N162" s="409"/>
      <c r="O162" s="409"/>
      <c r="P162" s="409"/>
      <c r="Q162" s="409"/>
      <c r="R162" s="409"/>
      <c r="S162" s="409"/>
      <c r="T162" s="409"/>
      <c r="U162" s="409"/>
      <c r="V162" s="409"/>
      <c r="W162" s="409"/>
    </row>
    <row r="163" spans="1:23" ht="15">
      <c r="A163" s="463"/>
      <c r="B163" s="463"/>
      <c r="C163" s="463"/>
      <c r="D163" s="463"/>
      <c r="E163" s="464"/>
      <c r="F163" s="409"/>
      <c r="G163" s="409"/>
      <c r="H163" s="409"/>
      <c r="I163" s="409"/>
      <c r="J163" s="409"/>
      <c r="K163" s="409"/>
      <c r="L163" s="409"/>
      <c r="M163" s="409"/>
      <c r="N163" s="409"/>
      <c r="O163" s="409"/>
      <c r="P163" s="409"/>
      <c r="Q163" s="409"/>
      <c r="R163" s="409"/>
      <c r="S163" s="409"/>
      <c r="T163" s="409"/>
      <c r="U163" s="409"/>
      <c r="V163" s="409"/>
      <c r="W163" s="409"/>
    </row>
    <row r="164" spans="1:23" ht="15">
      <c r="A164" s="463"/>
      <c r="B164" s="463"/>
      <c r="C164" s="463"/>
      <c r="D164" s="463"/>
      <c r="E164" s="464"/>
      <c r="F164" s="409"/>
      <c r="G164" s="409"/>
      <c r="H164" s="409"/>
      <c r="I164" s="409"/>
      <c r="J164" s="409"/>
      <c r="K164" s="409"/>
      <c r="L164" s="409"/>
      <c r="M164" s="409"/>
      <c r="N164" s="409"/>
      <c r="O164" s="409"/>
      <c r="P164" s="409"/>
      <c r="Q164" s="409"/>
      <c r="R164" s="409"/>
      <c r="S164" s="409"/>
      <c r="T164" s="409"/>
      <c r="U164" s="409"/>
      <c r="V164" s="409"/>
      <c r="W164" s="409"/>
    </row>
    <row r="165" spans="1:23" ht="15">
      <c r="A165" s="463"/>
      <c r="B165" s="463"/>
      <c r="C165" s="463"/>
      <c r="D165" s="463"/>
      <c r="E165" s="464"/>
      <c r="F165" s="409"/>
      <c r="G165" s="409"/>
      <c r="H165" s="409"/>
      <c r="I165" s="409"/>
      <c r="J165" s="409"/>
      <c r="K165" s="409"/>
      <c r="L165" s="409"/>
      <c r="M165" s="409"/>
      <c r="N165" s="409"/>
      <c r="O165" s="409"/>
      <c r="P165" s="409"/>
      <c r="Q165" s="409"/>
      <c r="R165" s="409"/>
      <c r="S165" s="409"/>
      <c r="T165" s="409"/>
      <c r="U165" s="409"/>
      <c r="V165" s="409"/>
      <c r="W165" s="409"/>
    </row>
    <row r="166" spans="1:23">
      <c r="A166" s="431"/>
      <c r="B166" s="431"/>
      <c r="C166" s="431"/>
      <c r="D166" s="431"/>
      <c r="E166" s="439"/>
      <c r="F166" s="409"/>
      <c r="G166" s="409"/>
      <c r="H166" s="409"/>
      <c r="I166" s="409"/>
      <c r="J166" s="409"/>
      <c r="K166" s="409"/>
      <c r="L166" s="409"/>
      <c r="M166" s="409"/>
      <c r="N166" s="409"/>
      <c r="O166" s="409"/>
      <c r="P166" s="409"/>
      <c r="Q166" s="409"/>
      <c r="R166" s="409"/>
      <c r="S166" s="409"/>
      <c r="T166" s="409"/>
      <c r="U166" s="409"/>
      <c r="V166" s="409"/>
      <c r="W166" s="409"/>
    </row>
    <row r="167" spans="1:23">
      <c r="A167" s="431"/>
      <c r="B167" s="431"/>
      <c r="C167" s="431"/>
      <c r="D167" s="431"/>
      <c r="E167" s="439"/>
      <c r="F167" s="409"/>
      <c r="G167" s="409"/>
      <c r="H167" s="409"/>
      <c r="I167" s="409"/>
      <c r="J167" s="409"/>
      <c r="K167" s="409"/>
      <c r="L167" s="409"/>
      <c r="M167" s="409"/>
      <c r="N167" s="409"/>
      <c r="O167" s="409"/>
      <c r="P167" s="409"/>
      <c r="Q167" s="409"/>
      <c r="R167" s="409"/>
      <c r="S167" s="409"/>
      <c r="T167" s="409"/>
      <c r="U167" s="409"/>
      <c r="V167" s="409"/>
      <c r="W167" s="409"/>
    </row>
    <row r="168" spans="1:23">
      <c r="A168" s="453"/>
      <c r="B168" s="465"/>
      <c r="C168" s="465"/>
      <c r="D168" s="465"/>
      <c r="E168" s="465"/>
      <c r="F168" s="409"/>
      <c r="G168" s="409"/>
      <c r="H168" s="409"/>
      <c r="I168" s="409"/>
      <c r="J168" s="409"/>
      <c r="K168" s="409"/>
      <c r="L168" s="409"/>
      <c r="M168" s="409"/>
      <c r="N168" s="409"/>
      <c r="O168" s="409"/>
      <c r="P168" s="409"/>
      <c r="Q168" s="409"/>
      <c r="R168" s="409"/>
      <c r="S168" s="409"/>
      <c r="T168" s="409"/>
      <c r="U168" s="409"/>
      <c r="V168" s="409"/>
      <c r="W168" s="409"/>
    </row>
    <row r="169" spans="1:23">
      <c r="A169" s="453"/>
      <c r="B169" s="465"/>
      <c r="C169" s="465"/>
      <c r="D169" s="465"/>
      <c r="E169" s="465"/>
      <c r="F169" s="409"/>
      <c r="G169" s="409"/>
      <c r="H169" s="409"/>
      <c r="I169" s="409"/>
      <c r="J169" s="409"/>
      <c r="K169" s="409"/>
      <c r="L169" s="409"/>
      <c r="M169" s="409"/>
      <c r="N169" s="409"/>
      <c r="O169" s="409"/>
      <c r="P169" s="409"/>
      <c r="Q169" s="409"/>
      <c r="R169" s="409"/>
      <c r="S169" s="409"/>
      <c r="T169" s="409"/>
      <c r="U169" s="409"/>
      <c r="V169" s="409"/>
      <c r="W169" s="409"/>
    </row>
    <row r="170" spans="1:23">
      <c r="A170" s="453"/>
      <c r="B170" s="453"/>
      <c r="C170" s="453"/>
      <c r="D170" s="453"/>
      <c r="E170" s="453"/>
      <c r="F170" s="409"/>
      <c r="G170" s="409"/>
      <c r="H170" s="409"/>
      <c r="I170" s="409"/>
      <c r="J170" s="409"/>
      <c r="K170" s="409"/>
      <c r="L170" s="409"/>
      <c r="M170" s="409"/>
      <c r="N170" s="409"/>
      <c r="O170" s="409"/>
      <c r="P170" s="409"/>
      <c r="Q170" s="409"/>
      <c r="R170" s="409"/>
      <c r="S170" s="409"/>
      <c r="T170" s="409"/>
      <c r="U170" s="409"/>
      <c r="V170" s="409"/>
      <c r="W170" s="409"/>
    </row>
    <row r="171" spans="1:23">
      <c r="A171" s="453"/>
      <c r="B171" s="453"/>
      <c r="C171" s="453"/>
      <c r="D171" s="453"/>
      <c r="E171" s="453"/>
      <c r="F171" s="409"/>
      <c r="G171" s="409"/>
      <c r="H171" s="409"/>
      <c r="I171" s="409"/>
      <c r="J171" s="409"/>
      <c r="K171" s="409"/>
      <c r="L171" s="409"/>
      <c r="M171" s="409"/>
      <c r="N171" s="409"/>
      <c r="O171" s="409"/>
      <c r="P171" s="409"/>
      <c r="Q171" s="409"/>
      <c r="R171" s="409"/>
      <c r="S171" s="409"/>
      <c r="T171" s="409"/>
      <c r="U171" s="409"/>
      <c r="V171" s="409"/>
      <c r="W171" s="409"/>
    </row>
    <row r="172" spans="1:23">
      <c r="A172" s="439"/>
      <c r="B172" s="439"/>
      <c r="C172" s="439"/>
      <c r="D172" s="439"/>
      <c r="E172" s="439"/>
      <c r="F172" s="409"/>
      <c r="G172" s="409"/>
      <c r="H172" s="409"/>
      <c r="I172" s="409"/>
      <c r="J172" s="409"/>
      <c r="K172" s="409"/>
      <c r="L172" s="409"/>
      <c r="M172" s="409"/>
      <c r="N172" s="409"/>
      <c r="O172" s="409"/>
      <c r="P172" s="409"/>
      <c r="Q172" s="409"/>
      <c r="R172" s="409"/>
      <c r="S172" s="409"/>
      <c r="T172" s="409"/>
      <c r="U172" s="409"/>
      <c r="V172" s="409"/>
      <c r="W172" s="409"/>
    </row>
    <row r="173" spans="1:23">
      <c r="A173" s="431"/>
      <c r="B173" s="431"/>
      <c r="C173" s="431"/>
      <c r="D173" s="431"/>
      <c r="E173" s="439"/>
      <c r="F173" s="409"/>
      <c r="G173" s="409"/>
      <c r="H173" s="409"/>
      <c r="I173" s="409"/>
      <c r="J173" s="409"/>
      <c r="K173" s="409"/>
      <c r="L173" s="409"/>
      <c r="M173" s="409"/>
      <c r="N173" s="409"/>
      <c r="O173" s="409"/>
      <c r="P173" s="409"/>
      <c r="Q173" s="409"/>
      <c r="R173" s="409"/>
      <c r="S173" s="409"/>
      <c r="T173" s="409"/>
      <c r="U173" s="409"/>
      <c r="V173" s="409"/>
      <c r="W173" s="409"/>
    </row>
    <row r="174" spans="1:23">
      <c r="A174" s="439"/>
      <c r="B174" s="465"/>
      <c r="C174" s="465"/>
      <c r="D174" s="465"/>
      <c r="E174" s="465"/>
      <c r="F174" s="409"/>
      <c r="G174" s="409"/>
      <c r="H174" s="409"/>
      <c r="I174" s="409"/>
      <c r="J174" s="409"/>
      <c r="K174" s="409"/>
      <c r="L174" s="409"/>
      <c r="M174" s="409"/>
      <c r="N174" s="409"/>
      <c r="O174" s="409"/>
      <c r="P174" s="409"/>
      <c r="Q174" s="409"/>
      <c r="R174" s="409"/>
      <c r="S174" s="409"/>
      <c r="T174" s="409"/>
      <c r="U174" s="409"/>
      <c r="V174" s="409"/>
      <c r="W174" s="409"/>
    </row>
    <row r="175" spans="1:23">
      <c r="A175" s="431"/>
      <c r="B175" s="465"/>
      <c r="C175" s="465"/>
      <c r="D175" s="465"/>
      <c r="E175" s="465"/>
      <c r="F175" s="409"/>
      <c r="G175" s="409"/>
      <c r="H175" s="409"/>
      <c r="I175" s="409"/>
      <c r="J175" s="409"/>
      <c r="K175" s="409"/>
      <c r="L175" s="409"/>
      <c r="M175" s="409"/>
      <c r="N175" s="409"/>
      <c r="O175" s="409"/>
      <c r="P175" s="409"/>
      <c r="Q175" s="409"/>
      <c r="R175" s="409"/>
      <c r="S175" s="409"/>
      <c r="T175" s="409"/>
      <c r="U175" s="409"/>
      <c r="V175" s="409"/>
      <c r="W175" s="409"/>
    </row>
    <row r="176" spans="1:23">
      <c r="A176" s="431"/>
      <c r="B176" s="431"/>
      <c r="C176" s="431"/>
      <c r="D176" s="431"/>
      <c r="E176" s="439"/>
      <c r="F176" s="409"/>
      <c r="G176" s="409"/>
      <c r="H176" s="409"/>
      <c r="I176" s="409"/>
      <c r="J176" s="409"/>
      <c r="K176" s="409"/>
      <c r="L176" s="409"/>
      <c r="M176" s="409"/>
      <c r="N176" s="409"/>
      <c r="O176" s="409"/>
      <c r="P176" s="409"/>
      <c r="Q176" s="409"/>
      <c r="R176" s="409"/>
      <c r="S176" s="409"/>
      <c r="T176" s="409"/>
      <c r="U176" s="409"/>
      <c r="V176" s="409"/>
      <c r="W176" s="409"/>
    </row>
    <row r="177" spans="1:23">
      <c r="A177" s="409"/>
      <c r="B177" s="409"/>
      <c r="C177" s="409"/>
      <c r="D177" s="409"/>
      <c r="E177" s="410"/>
      <c r="F177" s="409"/>
      <c r="G177" s="409"/>
      <c r="H177" s="409"/>
      <c r="I177" s="409"/>
      <c r="J177" s="409"/>
      <c r="K177" s="409"/>
      <c r="L177" s="409"/>
      <c r="M177" s="409"/>
      <c r="N177" s="409"/>
      <c r="O177" s="409"/>
      <c r="P177" s="409"/>
      <c r="Q177" s="409"/>
      <c r="R177" s="409"/>
      <c r="S177" s="409"/>
      <c r="T177" s="409"/>
      <c r="U177" s="409"/>
      <c r="V177" s="409"/>
      <c r="W177" s="409"/>
    </row>
    <row r="178" spans="1:23">
      <c r="A178" s="409"/>
      <c r="B178" s="409"/>
      <c r="C178" s="409"/>
      <c r="D178" s="409"/>
      <c r="E178" s="410"/>
      <c r="F178" s="409"/>
      <c r="G178" s="409"/>
      <c r="H178" s="409"/>
      <c r="I178" s="409"/>
      <c r="J178" s="409"/>
      <c r="K178" s="409"/>
      <c r="L178" s="409"/>
      <c r="M178" s="409"/>
      <c r="N178" s="409"/>
      <c r="O178" s="409"/>
      <c r="P178" s="409"/>
      <c r="Q178" s="409"/>
      <c r="R178" s="409"/>
      <c r="S178" s="409"/>
      <c r="T178" s="409"/>
      <c r="U178" s="409"/>
      <c r="V178" s="409"/>
      <c r="W178" s="409"/>
    </row>
    <row r="179" spans="1:23">
      <c r="A179" s="409"/>
      <c r="B179" s="409"/>
      <c r="C179" s="409"/>
      <c r="D179" s="409"/>
      <c r="E179" s="410"/>
      <c r="F179" s="409"/>
      <c r="G179" s="409"/>
      <c r="H179" s="409"/>
      <c r="I179" s="409"/>
      <c r="J179" s="409"/>
      <c r="K179" s="409"/>
      <c r="L179" s="409"/>
      <c r="M179" s="409"/>
      <c r="N179" s="409"/>
      <c r="O179" s="409"/>
      <c r="P179" s="409"/>
      <c r="Q179" s="409"/>
      <c r="R179" s="409"/>
      <c r="S179" s="409"/>
      <c r="T179" s="409"/>
      <c r="U179" s="409"/>
      <c r="V179" s="409"/>
      <c r="W179" s="409"/>
    </row>
    <row r="180" spans="1:23">
      <c r="A180" s="409"/>
      <c r="B180" s="409"/>
      <c r="C180" s="409"/>
      <c r="D180" s="409"/>
      <c r="E180" s="410"/>
      <c r="F180" s="409"/>
      <c r="G180" s="409"/>
      <c r="H180" s="409"/>
      <c r="I180" s="409"/>
      <c r="J180" s="409"/>
      <c r="K180" s="409"/>
      <c r="L180" s="409"/>
      <c r="M180" s="409"/>
      <c r="N180" s="409"/>
      <c r="O180" s="409"/>
      <c r="P180" s="409"/>
      <c r="Q180" s="409"/>
      <c r="R180" s="409"/>
      <c r="S180" s="409"/>
      <c r="T180" s="409"/>
      <c r="U180" s="409"/>
      <c r="V180" s="409"/>
      <c r="W180" s="409"/>
    </row>
    <row r="181" spans="1:23">
      <c r="A181" s="409"/>
      <c r="B181" s="409"/>
      <c r="C181" s="409"/>
      <c r="D181" s="409"/>
      <c r="E181" s="410"/>
      <c r="F181" s="409"/>
      <c r="G181" s="409"/>
      <c r="H181" s="409"/>
      <c r="I181" s="409"/>
      <c r="J181" s="409"/>
      <c r="K181" s="409"/>
      <c r="L181" s="409"/>
      <c r="M181" s="409"/>
      <c r="N181" s="409"/>
      <c r="O181" s="409"/>
      <c r="P181" s="409"/>
      <c r="Q181" s="409"/>
      <c r="R181" s="409"/>
      <c r="S181" s="409"/>
      <c r="T181" s="409"/>
      <c r="U181" s="409"/>
      <c r="V181" s="409"/>
      <c r="W181" s="409"/>
    </row>
    <row r="182" spans="1:23">
      <c r="A182" s="409"/>
      <c r="B182" s="409"/>
      <c r="C182" s="409"/>
      <c r="D182" s="409"/>
      <c r="E182" s="410"/>
      <c r="F182" s="409"/>
      <c r="G182" s="409"/>
      <c r="H182" s="409"/>
      <c r="I182" s="409"/>
      <c r="J182" s="409"/>
      <c r="K182" s="409"/>
      <c r="L182" s="409"/>
      <c r="M182" s="409"/>
      <c r="N182" s="409"/>
      <c r="O182" s="409"/>
      <c r="P182" s="409"/>
      <c r="Q182" s="409"/>
      <c r="R182" s="409"/>
      <c r="S182" s="409"/>
      <c r="T182" s="409"/>
      <c r="U182" s="409"/>
      <c r="V182" s="409"/>
      <c r="W182" s="409"/>
    </row>
    <row r="183" spans="1:23">
      <c r="A183" s="409"/>
      <c r="B183" s="409"/>
      <c r="C183" s="409"/>
      <c r="D183" s="409"/>
      <c r="E183" s="410"/>
      <c r="F183" s="409"/>
      <c r="G183" s="409"/>
      <c r="H183" s="409"/>
      <c r="I183" s="409"/>
      <c r="J183" s="409"/>
      <c r="K183" s="409"/>
      <c r="L183" s="409"/>
      <c r="M183" s="409"/>
      <c r="N183" s="409"/>
      <c r="O183" s="409"/>
      <c r="P183" s="409"/>
      <c r="Q183" s="409"/>
      <c r="R183" s="409"/>
      <c r="S183" s="409"/>
      <c r="T183" s="409"/>
      <c r="U183" s="409"/>
      <c r="V183" s="409"/>
      <c r="W183" s="409"/>
    </row>
    <row r="184" spans="1:23">
      <c r="A184" s="409"/>
      <c r="B184" s="409"/>
      <c r="C184" s="409"/>
      <c r="D184" s="409"/>
      <c r="E184" s="410"/>
      <c r="F184" s="409"/>
      <c r="G184" s="409"/>
      <c r="H184" s="409"/>
      <c r="I184" s="409"/>
      <c r="J184" s="409"/>
      <c r="K184" s="409"/>
      <c r="L184" s="409"/>
      <c r="M184" s="409"/>
      <c r="N184" s="409"/>
      <c r="O184" s="409"/>
      <c r="P184" s="409"/>
      <c r="Q184" s="409"/>
      <c r="R184" s="409"/>
      <c r="S184" s="409"/>
      <c r="T184" s="409"/>
      <c r="U184" s="409"/>
      <c r="V184" s="409"/>
      <c r="W184" s="409"/>
    </row>
    <row r="185" spans="1:23">
      <c r="A185" s="409"/>
      <c r="B185" s="409"/>
      <c r="C185" s="409"/>
      <c r="D185" s="409"/>
      <c r="E185" s="410"/>
      <c r="F185" s="409"/>
      <c r="G185" s="409"/>
      <c r="H185" s="409"/>
      <c r="I185" s="409"/>
      <c r="J185" s="409"/>
      <c r="K185" s="409"/>
      <c r="L185" s="409"/>
      <c r="M185" s="409"/>
      <c r="N185" s="409"/>
      <c r="O185" s="409"/>
      <c r="P185" s="409"/>
      <c r="Q185" s="409"/>
      <c r="R185" s="409"/>
      <c r="S185" s="409"/>
      <c r="T185" s="409"/>
      <c r="U185" s="409"/>
      <c r="V185" s="409"/>
      <c r="W185" s="409"/>
    </row>
    <row r="186" spans="1:23">
      <c r="A186" s="409"/>
      <c r="B186" s="409"/>
      <c r="C186" s="409"/>
      <c r="D186" s="409"/>
      <c r="E186" s="410"/>
      <c r="F186" s="409"/>
      <c r="G186" s="409"/>
      <c r="H186" s="409"/>
      <c r="I186" s="409"/>
      <c r="J186" s="409"/>
      <c r="K186" s="409"/>
      <c r="L186" s="409"/>
      <c r="M186" s="409"/>
      <c r="N186" s="409"/>
      <c r="O186" s="409"/>
      <c r="P186" s="409"/>
      <c r="Q186" s="409"/>
      <c r="R186" s="409"/>
      <c r="S186" s="409"/>
      <c r="T186" s="409"/>
      <c r="U186" s="409"/>
      <c r="V186" s="409"/>
      <c r="W186" s="409"/>
    </row>
    <row r="187" spans="1:23">
      <c r="A187" s="409"/>
      <c r="B187" s="409"/>
      <c r="C187" s="409"/>
      <c r="D187" s="409"/>
      <c r="E187" s="410"/>
      <c r="F187" s="409"/>
      <c r="G187" s="409"/>
      <c r="H187" s="409"/>
      <c r="I187" s="409"/>
      <c r="J187" s="409"/>
      <c r="K187" s="409"/>
      <c r="L187" s="409"/>
      <c r="M187" s="409"/>
      <c r="N187" s="409"/>
      <c r="O187" s="409"/>
      <c r="P187" s="409"/>
      <c r="Q187" s="409"/>
      <c r="R187" s="409"/>
      <c r="S187" s="409"/>
      <c r="T187" s="409"/>
      <c r="U187" s="409"/>
      <c r="V187" s="409"/>
      <c r="W187" s="409"/>
    </row>
    <row r="188" spans="1:23">
      <c r="A188" s="409"/>
      <c r="B188" s="409"/>
      <c r="C188" s="409"/>
      <c r="D188" s="409"/>
      <c r="E188" s="410"/>
      <c r="F188" s="409"/>
      <c r="G188" s="409"/>
      <c r="H188" s="409"/>
      <c r="I188" s="409"/>
      <c r="J188" s="409"/>
      <c r="K188" s="409"/>
      <c r="L188" s="409"/>
      <c r="M188" s="409"/>
      <c r="N188" s="409"/>
      <c r="O188" s="409"/>
      <c r="P188" s="409"/>
      <c r="Q188" s="409"/>
      <c r="R188" s="409"/>
      <c r="S188" s="409"/>
      <c r="T188" s="409"/>
      <c r="U188" s="409"/>
      <c r="V188" s="409"/>
      <c r="W188" s="409"/>
    </row>
    <row r="189" spans="1:23">
      <c r="A189" s="409"/>
      <c r="B189" s="409"/>
      <c r="C189" s="409"/>
      <c r="D189" s="409"/>
      <c r="E189" s="410"/>
      <c r="F189" s="409"/>
      <c r="G189" s="409"/>
      <c r="H189" s="409"/>
      <c r="I189" s="409"/>
      <c r="J189" s="409"/>
      <c r="K189" s="409"/>
      <c r="L189" s="409"/>
      <c r="M189" s="409"/>
      <c r="N189" s="409"/>
      <c r="O189" s="409"/>
      <c r="P189" s="409"/>
      <c r="Q189" s="409"/>
      <c r="R189" s="409"/>
      <c r="S189" s="409"/>
      <c r="T189" s="409"/>
      <c r="U189" s="409"/>
      <c r="V189" s="409"/>
      <c r="W189" s="409"/>
    </row>
    <row r="190" spans="1:23">
      <c r="A190" s="409"/>
      <c r="B190" s="409"/>
      <c r="C190" s="409"/>
      <c r="D190" s="409"/>
      <c r="E190" s="410"/>
      <c r="F190" s="409"/>
      <c r="G190" s="409"/>
      <c r="H190" s="409"/>
      <c r="I190" s="409"/>
      <c r="J190" s="409"/>
      <c r="K190" s="409"/>
      <c r="L190" s="409"/>
      <c r="M190" s="409"/>
      <c r="N190" s="409"/>
      <c r="O190" s="409"/>
      <c r="P190" s="409"/>
      <c r="Q190" s="409"/>
      <c r="R190" s="409"/>
      <c r="S190" s="409"/>
      <c r="T190" s="409"/>
      <c r="U190" s="409"/>
      <c r="V190" s="409"/>
      <c r="W190" s="409"/>
    </row>
    <row r="191" spans="1:23">
      <c r="A191" s="409"/>
      <c r="B191" s="409"/>
      <c r="C191" s="409"/>
      <c r="D191" s="409"/>
      <c r="E191" s="410"/>
      <c r="F191" s="409"/>
      <c r="G191" s="409"/>
      <c r="H191" s="409"/>
      <c r="I191" s="409"/>
      <c r="J191" s="409"/>
      <c r="K191" s="409"/>
      <c r="L191" s="409"/>
      <c r="M191" s="409"/>
      <c r="N191" s="409"/>
      <c r="O191" s="409"/>
      <c r="P191" s="409"/>
      <c r="Q191" s="409"/>
      <c r="R191" s="409"/>
      <c r="S191" s="409"/>
      <c r="T191" s="409"/>
      <c r="U191" s="409"/>
      <c r="V191" s="409"/>
      <c r="W191" s="409"/>
    </row>
    <row r="192" spans="1:23">
      <c r="A192" s="409"/>
      <c r="B192" s="409"/>
      <c r="C192" s="409"/>
      <c r="D192" s="409"/>
      <c r="E192" s="410"/>
      <c r="F192" s="409"/>
      <c r="G192" s="409"/>
      <c r="H192" s="409"/>
      <c r="I192" s="409"/>
      <c r="J192" s="409"/>
      <c r="K192" s="409"/>
      <c r="L192" s="409"/>
      <c r="M192" s="409"/>
      <c r="N192" s="409"/>
      <c r="O192" s="409"/>
      <c r="P192" s="409"/>
      <c r="Q192" s="409"/>
      <c r="R192" s="409"/>
      <c r="S192" s="409"/>
      <c r="T192" s="409"/>
      <c r="U192" s="409"/>
      <c r="V192" s="409"/>
      <c r="W192" s="409"/>
    </row>
    <row r="193" spans="1:23">
      <c r="A193" s="409"/>
      <c r="B193" s="409"/>
      <c r="C193" s="409"/>
      <c r="D193" s="409"/>
      <c r="E193" s="410"/>
      <c r="F193" s="409"/>
      <c r="G193" s="409"/>
      <c r="H193" s="409"/>
      <c r="I193" s="409"/>
      <c r="J193" s="409"/>
      <c r="K193" s="409"/>
      <c r="L193" s="409"/>
      <c r="M193" s="409"/>
      <c r="N193" s="409"/>
      <c r="O193" s="409"/>
      <c r="P193" s="409"/>
      <c r="Q193" s="409"/>
      <c r="R193" s="409"/>
      <c r="S193" s="409"/>
      <c r="T193" s="409"/>
      <c r="U193" s="409"/>
      <c r="V193" s="409"/>
      <c r="W193" s="409"/>
    </row>
    <row r="194" spans="1:23">
      <c r="A194" s="409"/>
      <c r="B194" s="409"/>
      <c r="C194" s="409"/>
      <c r="D194" s="409"/>
      <c r="E194" s="410"/>
      <c r="F194" s="409"/>
      <c r="G194" s="409"/>
      <c r="H194" s="409"/>
      <c r="I194" s="409"/>
      <c r="J194" s="409"/>
      <c r="K194" s="409"/>
      <c r="L194" s="409"/>
      <c r="M194" s="409"/>
      <c r="N194" s="409"/>
      <c r="O194" s="409"/>
      <c r="P194" s="409"/>
      <c r="Q194" s="409"/>
      <c r="R194" s="409"/>
      <c r="S194" s="409"/>
      <c r="T194" s="409"/>
      <c r="U194" s="409"/>
      <c r="V194" s="409"/>
      <c r="W194" s="409"/>
    </row>
    <row r="195" spans="1:23">
      <c r="A195" s="409"/>
      <c r="B195" s="409"/>
      <c r="C195" s="409"/>
      <c r="D195" s="409"/>
      <c r="E195" s="410"/>
      <c r="F195" s="409"/>
      <c r="G195" s="409"/>
      <c r="H195" s="409"/>
      <c r="I195" s="409"/>
      <c r="J195" s="409"/>
      <c r="K195" s="409"/>
      <c r="L195" s="409"/>
      <c r="M195" s="409"/>
      <c r="N195" s="409"/>
      <c r="O195" s="409"/>
      <c r="P195" s="409"/>
      <c r="Q195" s="409"/>
      <c r="R195" s="409"/>
      <c r="S195" s="409"/>
      <c r="T195" s="409"/>
      <c r="U195" s="409"/>
      <c r="V195" s="409"/>
      <c r="W195" s="409"/>
    </row>
    <row r="196" spans="1:23">
      <c r="A196" s="409"/>
      <c r="B196" s="409"/>
      <c r="C196" s="409"/>
      <c r="D196" s="409"/>
      <c r="E196" s="410"/>
      <c r="F196" s="409"/>
      <c r="G196" s="409"/>
      <c r="H196" s="409"/>
      <c r="I196" s="409"/>
      <c r="J196" s="409"/>
      <c r="K196" s="409"/>
      <c r="L196" s="409"/>
      <c r="M196" s="409"/>
      <c r="N196" s="409"/>
      <c r="O196" s="409"/>
      <c r="P196" s="409"/>
      <c r="Q196" s="409"/>
      <c r="R196" s="409"/>
      <c r="S196" s="409"/>
      <c r="T196" s="409"/>
      <c r="U196" s="409"/>
      <c r="V196" s="409"/>
      <c r="W196" s="409"/>
    </row>
    <row r="197" spans="1:23">
      <c r="A197" s="409"/>
      <c r="B197" s="409"/>
      <c r="C197" s="409"/>
      <c r="D197" s="409"/>
      <c r="E197" s="410"/>
      <c r="F197" s="409"/>
      <c r="G197" s="409"/>
      <c r="H197" s="409"/>
      <c r="I197" s="409"/>
      <c r="J197" s="409"/>
      <c r="K197" s="409"/>
      <c r="L197" s="409"/>
      <c r="M197" s="409"/>
      <c r="N197" s="409"/>
      <c r="O197" s="409"/>
      <c r="P197" s="409"/>
      <c r="Q197" s="409"/>
      <c r="R197" s="409"/>
      <c r="S197" s="409"/>
      <c r="T197" s="409"/>
      <c r="U197" s="409"/>
      <c r="V197" s="409"/>
      <c r="W197" s="409"/>
    </row>
    <row r="198" spans="1:23">
      <c r="A198" s="409"/>
      <c r="B198" s="409"/>
      <c r="C198" s="409"/>
      <c r="D198" s="409"/>
      <c r="E198" s="410"/>
      <c r="F198" s="409"/>
      <c r="G198" s="409"/>
      <c r="H198" s="409"/>
      <c r="I198" s="409"/>
      <c r="J198" s="409"/>
      <c r="K198" s="409"/>
      <c r="L198" s="409"/>
      <c r="M198" s="409"/>
      <c r="N198" s="409"/>
      <c r="O198" s="409"/>
      <c r="P198" s="409"/>
      <c r="Q198" s="409"/>
      <c r="R198" s="409"/>
      <c r="S198" s="409"/>
      <c r="T198" s="409"/>
      <c r="U198" s="409"/>
      <c r="V198" s="409"/>
      <c r="W198" s="409"/>
    </row>
    <row r="199" spans="1:23">
      <c r="A199" s="409"/>
      <c r="B199" s="409"/>
      <c r="C199" s="409"/>
      <c r="D199" s="409"/>
      <c r="E199" s="410"/>
      <c r="F199" s="409"/>
      <c r="G199" s="409"/>
      <c r="H199" s="409"/>
      <c r="I199" s="409"/>
      <c r="J199" s="409"/>
      <c r="K199" s="409"/>
      <c r="L199" s="409"/>
      <c r="M199" s="409"/>
      <c r="N199" s="409"/>
      <c r="O199" s="409"/>
      <c r="P199" s="409"/>
      <c r="Q199" s="409"/>
      <c r="R199" s="409"/>
      <c r="S199" s="409"/>
      <c r="T199" s="409"/>
      <c r="U199" s="409"/>
      <c r="V199" s="409"/>
      <c r="W199" s="409"/>
    </row>
    <row r="200" spans="1:23">
      <c r="A200" s="409"/>
      <c r="B200" s="409"/>
      <c r="C200" s="409"/>
      <c r="D200" s="409"/>
      <c r="E200" s="410"/>
      <c r="F200" s="409"/>
      <c r="G200" s="409"/>
      <c r="H200" s="409"/>
      <c r="I200" s="409"/>
      <c r="J200" s="409"/>
      <c r="K200" s="409"/>
      <c r="L200" s="409"/>
      <c r="M200" s="409"/>
      <c r="N200" s="409"/>
      <c r="O200" s="409"/>
      <c r="P200" s="409"/>
      <c r="Q200" s="409"/>
      <c r="R200" s="409"/>
      <c r="S200" s="409"/>
      <c r="T200" s="409"/>
      <c r="U200" s="409"/>
      <c r="V200" s="409"/>
      <c r="W200" s="409"/>
    </row>
    <row r="201" spans="1:23">
      <c r="A201" s="409"/>
      <c r="B201" s="409"/>
      <c r="C201" s="409"/>
      <c r="D201" s="409"/>
      <c r="E201" s="410"/>
      <c r="F201" s="409"/>
      <c r="G201" s="409"/>
      <c r="H201" s="409"/>
      <c r="I201" s="409"/>
      <c r="J201" s="409"/>
      <c r="K201" s="409"/>
      <c r="L201" s="409"/>
      <c r="M201" s="409"/>
      <c r="N201" s="409"/>
      <c r="O201" s="409"/>
      <c r="P201" s="409"/>
      <c r="Q201" s="409"/>
      <c r="R201" s="409"/>
      <c r="S201" s="409"/>
      <c r="T201" s="409"/>
      <c r="U201" s="409"/>
      <c r="V201" s="409"/>
      <c r="W201" s="409"/>
    </row>
    <row r="202" spans="1:23">
      <c r="A202" s="409"/>
      <c r="B202" s="409"/>
      <c r="C202" s="409"/>
      <c r="D202" s="409"/>
      <c r="E202" s="410"/>
      <c r="F202" s="409"/>
      <c r="G202" s="409"/>
      <c r="H202" s="409"/>
      <c r="I202" s="409"/>
      <c r="J202" s="409"/>
      <c r="K202" s="409"/>
      <c r="L202" s="409"/>
      <c r="M202" s="409"/>
      <c r="N202" s="409"/>
      <c r="O202" s="409"/>
      <c r="P202" s="409"/>
      <c r="Q202" s="409"/>
      <c r="R202" s="409"/>
      <c r="S202" s="409"/>
      <c r="T202" s="409"/>
      <c r="U202" s="409"/>
      <c r="V202" s="409"/>
      <c r="W202" s="409"/>
    </row>
    <row r="203" spans="1:23">
      <c r="A203" s="409"/>
      <c r="B203" s="409"/>
      <c r="C203" s="409"/>
      <c r="D203" s="409"/>
      <c r="E203" s="410"/>
      <c r="F203" s="409"/>
      <c r="G203" s="409"/>
      <c r="H203" s="409"/>
      <c r="I203" s="409"/>
      <c r="J203" s="409"/>
      <c r="K203" s="409"/>
      <c r="L203" s="409"/>
      <c r="M203" s="409"/>
      <c r="N203" s="409"/>
      <c r="O203" s="409"/>
      <c r="P203" s="409"/>
      <c r="Q203" s="409"/>
      <c r="R203" s="409"/>
      <c r="S203" s="409"/>
      <c r="T203" s="409"/>
      <c r="U203" s="409"/>
      <c r="V203" s="409"/>
      <c r="W203" s="409"/>
    </row>
    <row r="204" spans="1:23">
      <c r="A204" s="409"/>
      <c r="B204" s="409"/>
      <c r="C204" s="409"/>
      <c r="D204" s="409"/>
      <c r="E204" s="410"/>
      <c r="F204" s="409"/>
      <c r="G204" s="409"/>
      <c r="H204" s="409"/>
      <c r="I204" s="409"/>
      <c r="J204" s="409"/>
      <c r="K204" s="409"/>
      <c r="L204" s="409"/>
      <c r="M204" s="409"/>
      <c r="N204" s="409"/>
      <c r="O204" s="409"/>
      <c r="P204" s="409"/>
      <c r="Q204" s="409"/>
      <c r="R204" s="409"/>
      <c r="S204" s="409"/>
      <c r="T204" s="409"/>
      <c r="U204" s="409"/>
      <c r="V204" s="409"/>
      <c r="W204" s="409"/>
    </row>
    <row r="205" spans="1:23">
      <c r="A205" s="409"/>
      <c r="B205" s="409"/>
      <c r="C205" s="409"/>
      <c r="D205" s="409"/>
      <c r="E205" s="410"/>
      <c r="F205" s="409"/>
      <c r="G205" s="409"/>
      <c r="H205" s="409"/>
      <c r="I205" s="409"/>
      <c r="J205" s="409"/>
      <c r="K205" s="409"/>
      <c r="L205" s="409"/>
      <c r="M205" s="409"/>
      <c r="N205" s="409"/>
      <c r="O205" s="409"/>
      <c r="P205" s="409"/>
      <c r="Q205" s="409"/>
      <c r="R205" s="409"/>
      <c r="S205" s="409"/>
      <c r="T205" s="409"/>
      <c r="U205" s="409"/>
      <c r="V205" s="409"/>
      <c r="W205" s="409"/>
    </row>
    <row r="206" spans="1:23">
      <c r="A206" s="409"/>
      <c r="B206" s="409"/>
      <c r="C206" s="409"/>
      <c r="D206" s="409"/>
      <c r="E206" s="410"/>
      <c r="F206" s="409"/>
      <c r="G206" s="409"/>
      <c r="H206" s="409"/>
      <c r="I206" s="409"/>
      <c r="J206" s="409"/>
      <c r="K206" s="409"/>
      <c r="L206" s="409"/>
      <c r="M206" s="409"/>
      <c r="N206" s="409"/>
      <c r="O206" s="409"/>
      <c r="P206" s="409"/>
      <c r="Q206" s="409"/>
      <c r="R206" s="409"/>
      <c r="S206" s="409"/>
      <c r="T206" s="409"/>
      <c r="U206" s="409"/>
      <c r="V206" s="409"/>
      <c r="W206" s="409"/>
    </row>
    <row r="207" spans="1:23">
      <c r="A207" s="409"/>
      <c r="B207" s="409"/>
      <c r="C207" s="409"/>
      <c r="D207" s="409"/>
      <c r="E207" s="410"/>
      <c r="F207" s="409"/>
      <c r="G207" s="409"/>
      <c r="H207" s="409"/>
      <c r="I207" s="409"/>
      <c r="J207" s="409"/>
      <c r="K207" s="409"/>
      <c r="L207" s="409"/>
      <c r="M207" s="409"/>
      <c r="N207" s="409"/>
      <c r="O207" s="409"/>
      <c r="P207" s="409"/>
      <c r="Q207" s="409"/>
      <c r="R207" s="409"/>
      <c r="S207" s="409"/>
      <c r="T207" s="409"/>
      <c r="U207" s="409"/>
      <c r="V207" s="409"/>
      <c r="W207" s="409"/>
    </row>
    <row r="208" spans="1:23">
      <c r="A208" s="409"/>
      <c r="B208" s="409"/>
      <c r="C208" s="409"/>
      <c r="D208" s="409"/>
      <c r="E208" s="410"/>
      <c r="F208" s="409"/>
      <c r="G208" s="409"/>
      <c r="H208" s="409"/>
      <c r="I208" s="409"/>
      <c r="J208" s="409"/>
      <c r="K208" s="409"/>
      <c r="L208" s="409"/>
      <c r="M208" s="409"/>
      <c r="N208" s="409"/>
      <c r="O208" s="409"/>
      <c r="P208" s="409"/>
      <c r="Q208" s="409"/>
      <c r="R208" s="409"/>
      <c r="S208" s="409"/>
      <c r="T208" s="409"/>
      <c r="U208" s="409"/>
      <c r="V208" s="409"/>
      <c r="W208" s="409"/>
    </row>
    <row r="209" spans="1:23">
      <c r="A209" s="409"/>
      <c r="B209" s="409"/>
      <c r="C209" s="409"/>
      <c r="D209" s="409"/>
      <c r="E209" s="410"/>
      <c r="F209" s="409"/>
      <c r="G209" s="409"/>
      <c r="H209" s="409"/>
      <c r="I209" s="409"/>
      <c r="J209" s="409"/>
      <c r="K209" s="409"/>
      <c r="L209" s="409"/>
      <c r="M209" s="409"/>
      <c r="N209" s="409"/>
      <c r="O209" s="409"/>
      <c r="P209" s="409"/>
      <c r="Q209" s="409"/>
      <c r="R209" s="409"/>
      <c r="S209" s="409"/>
      <c r="T209" s="409"/>
      <c r="U209" s="409"/>
      <c r="V209" s="409"/>
      <c r="W209" s="409"/>
    </row>
    <row r="210" spans="1:23">
      <c r="A210" s="409"/>
      <c r="B210" s="409"/>
      <c r="C210" s="409"/>
      <c r="D210" s="409"/>
      <c r="E210" s="410"/>
      <c r="F210" s="409"/>
      <c r="G210" s="409"/>
      <c r="H210" s="409"/>
      <c r="I210" s="409"/>
      <c r="J210" s="409"/>
      <c r="K210" s="409"/>
      <c r="L210" s="409"/>
      <c r="M210" s="409"/>
      <c r="N210" s="409"/>
      <c r="O210" s="409"/>
      <c r="P210" s="409"/>
      <c r="Q210" s="409"/>
      <c r="R210" s="409"/>
      <c r="S210" s="409"/>
      <c r="T210" s="409"/>
      <c r="U210" s="409"/>
      <c r="V210" s="409"/>
      <c r="W210" s="409"/>
    </row>
    <row r="211" spans="1:23">
      <c r="A211" s="409"/>
      <c r="B211" s="409"/>
      <c r="C211" s="409"/>
      <c r="D211" s="409"/>
      <c r="E211" s="410"/>
      <c r="F211" s="409"/>
      <c r="G211" s="409"/>
      <c r="H211" s="409"/>
      <c r="I211" s="409"/>
      <c r="J211" s="409"/>
      <c r="K211" s="409"/>
      <c r="L211" s="409"/>
      <c r="M211" s="409"/>
      <c r="N211" s="409"/>
      <c r="O211" s="409"/>
      <c r="P211" s="409"/>
      <c r="Q211" s="409"/>
      <c r="R211" s="409"/>
      <c r="S211" s="409"/>
      <c r="T211" s="409"/>
      <c r="U211" s="409"/>
      <c r="V211" s="409"/>
      <c r="W211" s="409"/>
    </row>
    <row r="212" spans="1:23">
      <c r="A212" s="409"/>
      <c r="B212" s="409"/>
      <c r="C212" s="409"/>
      <c r="D212" s="409"/>
      <c r="E212" s="410"/>
      <c r="F212" s="409"/>
      <c r="G212" s="409"/>
      <c r="H212" s="409"/>
      <c r="I212" s="409"/>
      <c r="J212" s="409"/>
      <c r="K212" s="409"/>
      <c r="L212" s="409"/>
      <c r="M212" s="409"/>
      <c r="N212" s="409"/>
      <c r="O212" s="409"/>
      <c r="P212" s="409"/>
      <c r="Q212" s="409"/>
      <c r="R212" s="409"/>
      <c r="S212" s="409"/>
      <c r="T212" s="409"/>
      <c r="U212" s="409"/>
      <c r="V212" s="409"/>
      <c r="W212" s="409"/>
    </row>
    <row r="213" spans="1:23">
      <c r="A213" s="409"/>
      <c r="B213" s="409"/>
      <c r="C213" s="409"/>
      <c r="D213" s="409"/>
      <c r="E213" s="410"/>
      <c r="F213" s="409"/>
      <c r="G213" s="409"/>
      <c r="H213" s="409"/>
      <c r="I213" s="409"/>
      <c r="J213" s="409"/>
      <c r="K213" s="409"/>
      <c r="L213" s="409"/>
      <c r="M213" s="409"/>
      <c r="N213" s="409"/>
      <c r="O213" s="409"/>
      <c r="P213" s="409"/>
      <c r="Q213" s="409"/>
      <c r="R213" s="409"/>
      <c r="S213" s="409"/>
      <c r="T213" s="409"/>
      <c r="U213" s="409"/>
      <c r="V213" s="409"/>
      <c r="W213" s="409"/>
    </row>
    <row r="214" spans="1:23">
      <c r="A214" s="409"/>
      <c r="B214" s="409"/>
      <c r="C214" s="409"/>
      <c r="D214" s="409"/>
      <c r="E214" s="410"/>
      <c r="F214" s="409"/>
      <c r="G214" s="409"/>
      <c r="H214" s="409"/>
      <c r="I214" s="409"/>
      <c r="J214" s="409"/>
      <c r="K214" s="409"/>
      <c r="L214" s="409"/>
      <c r="M214" s="409"/>
      <c r="N214" s="409"/>
      <c r="O214" s="409"/>
      <c r="P214" s="409"/>
      <c r="Q214" s="409"/>
      <c r="R214" s="409"/>
      <c r="S214" s="409"/>
      <c r="T214" s="409"/>
      <c r="U214" s="409"/>
      <c r="V214" s="409"/>
      <c r="W214" s="409"/>
    </row>
    <row r="215" spans="1:23">
      <c r="A215" s="409"/>
      <c r="B215" s="409"/>
      <c r="C215" s="409"/>
      <c r="D215" s="409"/>
      <c r="E215" s="410"/>
      <c r="F215" s="409"/>
      <c r="G215" s="409"/>
      <c r="H215" s="409"/>
      <c r="I215" s="409"/>
      <c r="J215" s="409"/>
      <c r="K215" s="409"/>
      <c r="L215" s="409"/>
      <c r="M215" s="409"/>
      <c r="N215" s="409"/>
      <c r="O215" s="409"/>
      <c r="P215" s="409"/>
      <c r="Q215" s="409"/>
      <c r="R215" s="409"/>
      <c r="S215" s="409"/>
      <c r="T215" s="409"/>
      <c r="U215" s="409"/>
      <c r="V215" s="409"/>
      <c r="W215" s="409"/>
    </row>
    <row r="216" spans="1:23">
      <c r="A216" s="409"/>
      <c r="B216" s="409"/>
      <c r="C216" s="409"/>
      <c r="D216" s="409"/>
      <c r="E216" s="410"/>
      <c r="F216" s="409"/>
      <c r="G216" s="409"/>
      <c r="H216" s="409"/>
      <c r="I216" s="409"/>
      <c r="J216" s="409"/>
      <c r="K216" s="409"/>
      <c r="L216" s="409"/>
      <c r="M216" s="409"/>
      <c r="N216" s="409"/>
      <c r="O216" s="409"/>
      <c r="P216" s="409"/>
      <c r="Q216" s="409"/>
      <c r="R216" s="409"/>
      <c r="S216" s="409"/>
      <c r="T216" s="409"/>
      <c r="U216" s="409"/>
      <c r="V216" s="409"/>
      <c r="W216" s="409"/>
    </row>
    <row r="217" spans="1:23">
      <c r="A217" s="409"/>
      <c r="B217" s="409"/>
      <c r="C217" s="409"/>
      <c r="D217" s="409"/>
      <c r="E217" s="410"/>
      <c r="F217" s="409"/>
      <c r="G217" s="409"/>
      <c r="H217" s="409"/>
      <c r="I217" s="409"/>
      <c r="J217" s="409"/>
      <c r="K217" s="409"/>
      <c r="L217" s="409"/>
      <c r="M217" s="409"/>
      <c r="N217" s="409"/>
      <c r="O217" s="409"/>
      <c r="P217" s="409"/>
      <c r="Q217" s="409"/>
      <c r="R217" s="409"/>
      <c r="S217" s="409"/>
      <c r="T217" s="409"/>
      <c r="U217" s="409"/>
      <c r="V217" s="409"/>
      <c r="W217" s="409"/>
    </row>
    <row r="218" spans="1:23">
      <c r="A218" s="409"/>
      <c r="B218" s="409"/>
      <c r="C218" s="409"/>
      <c r="D218" s="409"/>
      <c r="E218" s="410"/>
      <c r="F218" s="409"/>
      <c r="G218" s="409"/>
      <c r="H218" s="409"/>
      <c r="I218" s="409"/>
      <c r="J218" s="409"/>
      <c r="K218" s="409"/>
      <c r="L218" s="409"/>
      <c r="M218" s="409"/>
      <c r="N218" s="409"/>
      <c r="O218" s="409"/>
      <c r="P218" s="409"/>
      <c r="Q218" s="409"/>
      <c r="R218" s="409"/>
      <c r="S218" s="409"/>
      <c r="T218" s="409"/>
      <c r="U218" s="409"/>
      <c r="V218" s="409"/>
      <c r="W218" s="409"/>
    </row>
    <row r="219" spans="1:23">
      <c r="A219" s="409"/>
      <c r="B219" s="409"/>
      <c r="C219" s="409"/>
      <c r="D219" s="409"/>
      <c r="E219" s="410"/>
      <c r="F219" s="409"/>
      <c r="G219" s="409"/>
      <c r="H219" s="409"/>
      <c r="I219" s="409"/>
      <c r="J219" s="409"/>
      <c r="K219" s="409"/>
      <c r="L219" s="409"/>
      <c r="M219" s="409"/>
      <c r="N219" s="409"/>
      <c r="O219" s="409"/>
      <c r="P219" s="409"/>
      <c r="Q219" s="409"/>
      <c r="R219" s="409"/>
      <c r="S219" s="409"/>
      <c r="T219" s="409"/>
      <c r="U219" s="409"/>
      <c r="V219" s="409"/>
      <c r="W219" s="409"/>
    </row>
  </sheetData>
  <mergeCells count="127">
    <mergeCell ref="A81:D81"/>
    <mergeCell ref="A82:D82"/>
    <mergeCell ref="A83:D83"/>
    <mergeCell ref="A38:W38"/>
    <mergeCell ref="A39:W39"/>
    <mergeCell ref="A40:W40"/>
    <mergeCell ref="A41:W41"/>
    <mergeCell ref="A42:C42"/>
    <mergeCell ref="D42:S42"/>
    <mergeCell ref="D48:S48"/>
    <mergeCell ref="T48:V48"/>
    <mergeCell ref="A53:C53"/>
    <mergeCell ref="D53:S53"/>
    <mergeCell ref="T53:V53"/>
    <mergeCell ref="A54:C54"/>
    <mergeCell ref="D54:S54"/>
    <mergeCell ref="T54:V54"/>
    <mergeCell ref="A51:C51"/>
    <mergeCell ref="D51:S51"/>
    <mergeCell ref="T51:V51"/>
    <mergeCell ref="A52:C52"/>
    <mergeCell ref="D52:S52"/>
    <mergeCell ref="T52:V52"/>
    <mergeCell ref="A57:C57"/>
    <mergeCell ref="A89:N89"/>
    <mergeCell ref="A74:N74"/>
    <mergeCell ref="A75:N75"/>
    <mergeCell ref="A79:N79"/>
    <mergeCell ref="A80:N80"/>
    <mergeCell ref="R80:V80"/>
    <mergeCell ref="T84:W84"/>
    <mergeCell ref="A88:N88"/>
    <mergeCell ref="A45:C45"/>
    <mergeCell ref="D45:S45"/>
    <mergeCell ref="T45:V45"/>
    <mergeCell ref="A46:C46"/>
    <mergeCell ref="D46:S46"/>
    <mergeCell ref="T46:V46"/>
    <mergeCell ref="A49:C49"/>
    <mergeCell ref="D49:S49"/>
    <mergeCell ref="T49:V49"/>
    <mergeCell ref="A50:C50"/>
    <mergeCell ref="D50:S50"/>
    <mergeCell ref="T50:V50"/>
    <mergeCell ref="A47:C47"/>
    <mergeCell ref="D47:S47"/>
    <mergeCell ref="T47:V47"/>
    <mergeCell ref="A48:C48"/>
    <mergeCell ref="A37:W37"/>
    <mergeCell ref="A27:I28"/>
    <mergeCell ref="J27:S28"/>
    <mergeCell ref="T27:W28"/>
    <mergeCell ref="A29:W29"/>
    <mergeCell ref="A30:W30"/>
    <mergeCell ref="A31:W31"/>
    <mergeCell ref="A32:W32"/>
    <mergeCell ref="A33:W33"/>
    <mergeCell ref="A34:W34"/>
    <mergeCell ref="A35:W35"/>
    <mergeCell ref="A36:W36"/>
    <mergeCell ref="B4:W4"/>
    <mergeCell ref="H1:S2"/>
    <mergeCell ref="T1:U1"/>
    <mergeCell ref="T2:V2"/>
    <mergeCell ref="H3:S3"/>
    <mergeCell ref="T3:V3"/>
    <mergeCell ref="S25:W25"/>
    <mergeCell ref="E5:W5"/>
    <mergeCell ref="A9:D11"/>
    <mergeCell ref="E9:W11"/>
    <mergeCell ref="A13:I25"/>
    <mergeCell ref="S14:W14"/>
    <mergeCell ref="S15:W15"/>
    <mergeCell ref="S16:W16"/>
    <mergeCell ref="S17:W17"/>
    <mergeCell ref="S18:W18"/>
    <mergeCell ref="S19:W19"/>
    <mergeCell ref="S20:W20"/>
    <mergeCell ref="S21:W21"/>
    <mergeCell ref="S22:W22"/>
    <mergeCell ref="S23:W23"/>
    <mergeCell ref="S24:W24"/>
    <mergeCell ref="D57:S57"/>
    <mergeCell ref="T57:V57"/>
    <mergeCell ref="A58:C58"/>
    <mergeCell ref="D58:S58"/>
    <mergeCell ref="T58:V58"/>
    <mergeCell ref="A55:C55"/>
    <mergeCell ref="D55:S55"/>
    <mergeCell ref="T55:V55"/>
    <mergeCell ref="A56:C56"/>
    <mergeCell ref="D56:S56"/>
    <mergeCell ref="T56:V56"/>
    <mergeCell ref="T61:V61"/>
    <mergeCell ref="A62:C62"/>
    <mergeCell ref="D62:S62"/>
    <mergeCell ref="T62:V62"/>
    <mergeCell ref="A59:C59"/>
    <mergeCell ref="D59:S59"/>
    <mergeCell ref="T59:V59"/>
    <mergeCell ref="A60:C60"/>
    <mergeCell ref="D60:S60"/>
    <mergeCell ref="T60:V60"/>
    <mergeCell ref="A69:C69"/>
    <mergeCell ref="D69:S69"/>
    <mergeCell ref="T69:V69"/>
    <mergeCell ref="A43:W43"/>
    <mergeCell ref="A67:C67"/>
    <mergeCell ref="D67:S67"/>
    <mergeCell ref="T67:V67"/>
    <mergeCell ref="A68:C68"/>
    <mergeCell ref="D68:S68"/>
    <mergeCell ref="T68:V68"/>
    <mergeCell ref="A65:C65"/>
    <mergeCell ref="D65:S65"/>
    <mergeCell ref="T65:V65"/>
    <mergeCell ref="A66:C66"/>
    <mergeCell ref="D66:S66"/>
    <mergeCell ref="T66:V66"/>
    <mergeCell ref="A63:C63"/>
    <mergeCell ref="D63:S63"/>
    <mergeCell ref="T63:V63"/>
    <mergeCell ref="A64:C64"/>
    <mergeCell ref="D64:S64"/>
    <mergeCell ref="T64:V64"/>
    <mergeCell ref="A61:C61"/>
    <mergeCell ref="D61:S61"/>
  </mergeCells>
  <pageMargins left="0.39370078740157483" right="0.31496062992125984" top="0.59055118110236227" bottom="0.59055118110236227" header="0" footer="0"/>
  <pageSetup scale="80" orientation="portrait" r:id="rId1"/>
  <headerFooter alignWithMargins="0">
    <oddHeader xml:space="preserve">&amp;L
</oddHeader>
    <oddFooter>&amp;R&amp;Pde &amp;N
&amp;G</oddFooter>
  </headerFooter>
  <rowBreaks count="2" manualBreakCount="2">
    <brk id="29" max="16383" man="1"/>
    <brk id="40" max="16383" man="1"/>
  </rowBreaks>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K57"/>
  <sheetViews>
    <sheetView zoomScaleNormal="100" zoomScaleSheetLayoutView="90" workbookViewId="0">
      <selection activeCell="A24" sqref="A24:I24"/>
    </sheetView>
  </sheetViews>
  <sheetFormatPr baseColWidth="10" defaultColWidth="11.5703125" defaultRowHeight="14.25"/>
  <cols>
    <col min="1" max="1" width="22.85546875" style="42" customWidth="1"/>
    <col min="2" max="2" width="8.7109375" style="42" customWidth="1"/>
    <col min="3" max="3" width="37.42578125" style="42" customWidth="1"/>
    <col min="4" max="4" width="7.28515625" style="42" customWidth="1"/>
    <col min="5" max="5" width="2.28515625" style="42" customWidth="1"/>
    <col min="6" max="6" width="8.5703125" style="42" customWidth="1"/>
    <col min="7" max="7" width="6.28515625" style="42" customWidth="1"/>
    <col min="8" max="8" width="4.28515625" style="42" customWidth="1"/>
    <col min="9" max="9" width="11.7109375" style="42" customWidth="1"/>
    <col min="10" max="10" width="11.5703125" style="42" customWidth="1"/>
    <col min="11" max="11" width="0" style="42" hidden="1" customWidth="1"/>
    <col min="12" max="16384" width="11.5703125" style="42"/>
  </cols>
  <sheetData>
    <row r="1" spans="1:11" ht="24.6" customHeight="1">
      <c r="A1" s="972"/>
      <c r="B1" s="973" t="s">
        <v>276</v>
      </c>
      <c r="C1" s="973"/>
      <c r="D1" s="973"/>
      <c r="E1" s="973"/>
      <c r="F1" s="975" t="s">
        <v>90</v>
      </c>
      <c r="G1" s="975"/>
      <c r="H1" s="970" t="s">
        <v>1132</v>
      </c>
      <c r="I1" s="970"/>
      <c r="J1" s="41"/>
    </row>
    <row r="2" spans="1:11" ht="24.6" customHeight="1">
      <c r="A2" s="972"/>
      <c r="B2" s="973"/>
      <c r="C2" s="973"/>
      <c r="D2" s="973"/>
      <c r="E2" s="973"/>
      <c r="F2" s="975" t="s">
        <v>89</v>
      </c>
      <c r="G2" s="975"/>
      <c r="H2" s="970">
        <v>1</v>
      </c>
      <c r="I2" s="970"/>
      <c r="J2" s="41"/>
    </row>
    <row r="3" spans="1:11" ht="24.6" customHeight="1">
      <c r="A3" s="972"/>
      <c r="B3" s="970" t="s">
        <v>93</v>
      </c>
      <c r="C3" s="970"/>
      <c r="D3" s="970"/>
      <c r="E3" s="970"/>
      <c r="F3" s="1160" t="s">
        <v>88</v>
      </c>
      <c r="G3" s="1161"/>
      <c r="H3" s="971">
        <v>42705</v>
      </c>
      <c r="I3" s="970"/>
      <c r="J3" s="41"/>
    </row>
    <row r="4" spans="1:11" ht="34.9" customHeight="1">
      <c r="A4" s="1019" t="s">
        <v>287</v>
      </c>
      <c r="B4" s="1162"/>
      <c r="C4" s="1162"/>
      <c r="D4" s="1162"/>
      <c r="E4" s="1162"/>
      <c r="F4" s="1162"/>
      <c r="G4" s="1162"/>
      <c r="H4" s="1162"/>
      <c r="I4" s="1162"/>
      <c r="J4" s="41"/>
    </row>
    <row r="5" spans="1:11" ht="3" customHeight="1">
      <c r="A5" s="135"/>
      <c r="B5" s="138"/>
      <c r="C5" s="138"/>
      <c r="D5" s="138"/>
      <c r="E5" s="138"/>
      <c r="F5" s="138"/>
      <c r="G5" s="138"/>
      <c r="H5" s="138"/>
      <c r="I5" s="138"/>
      <c r="J5" s="41"/>
    </row>
    <row r="6" spans="1:11" ht="19.149999999999999" customHeight="1">
      <c r="A6" s="962" t="s">
        <v>1</v>
      </c>
      <c r="B6" s="962"/>
      <c r="C6" s="51">
        <f>DATOS!$E$10</f>
        <v>0</v>
      </c>
      <c r="D6" s="181" t="s">
        <v>92</v>
      </c>
      <c r="E6" s="974">
        <f>DATOS!E12</f>
        <v>0</v>
      </c>
      <c r="F6" s="974"/>
      <c r="G6" s="962" t="s">
        <v>86</v>
      </c>
      <c r="H6" s="962"/>
      <c r="I6" s="136">
        <f>DATOS!I12</f>
        <v>0</v>
      </c>
      <c r="J6" s="41"/>
    </row>
    <row r="7" spans="1:11" ht="19.149999999999999" customHeight="1">
      <c r="A7" s="962" t="s">
        <v>94</v>
      </c>
      <c r="B7" s="962"/>
      <c r="C7" s="963" t="s">
        <v>101</v>
      </c>
      <c r="D7" s="963"/>
      <c r="E7" s="963"/>
      <c r="F7" s="963"/>
      <c r="G7" s="963"/>
      <c r="H7" s="963"/>
      <c r="I7" s="963"/>
      <c r="J7" s="41"/>
    </row>
    <row r="8" spans="1:11" ht="19.149999999999999" customHeight="1">
      <c r="A8" s="962" t="s">
        <v>95</v>
      </c>
      <c r="B8" s="962"/>
      <c r="C8" s="963" t="s">
        <v>102</v>
      </c>
      <c r="D8" s="963"/>
      <c r="E8" s="963"/>
      <c r="F8" s="963"/>
      <c r="G8" s="963"/>
      <c r="H8" s="963"/>
      <c r="I8" s="963"/>
      <c r="J8" s="41"/>
    </row>
    <row r="9" spans="1:11" ht="19.149999999999999" customHeight="1">
      <c r="A9" s="962" t="str">
        <f>IF('SUSP 3'!C6="CONTRATO DE OBRA",("INTERVENTOR"),("SUPERVISOR"))</f>
        <v>SUPERVISOR</v>
      </c>
      <c r="B9" s="962"/>
      <c r="C9" s="963">
        <f>LOOKUP(A9,DATOS!C24:C30,DATOS!G24:G30)</f>
        <v>0</v>
      </c>
      <c r="D9" s="963"/>
      <c r="E9" s="963"/>
      <c r="F9" s="963"/>
      <c r="G9" s="963"/>
      <c r="H9" s="963"/>
      <c r="I9" s="963"/>
      <c r="K9" s="394" t="str">
        <f>LOOKUP(A9,DATOS!C24:C30,DATOS!M24:M30)</f>
        <v>la</v>
      </c>
    </row>
    <row r="10" spans="1:11" ht="19.149999999999999" customHeight="1">
      <c r="A10" s="962" t="s">
        <v>95</v>
      </c>
      <c r="B10" s="962"/>
      <c r="C10" s="963">
        <f>IF(A9=DATOS!C24,DATOS!E26,DATOS!E32)</f>
        <v>0</v>
      </c>
      <c r="D10" s="963"/>
      <c r="E10" s="963"/>
      <c r="F10" s="963"/>
      <c r="G10" s="963"/>
      <c r="H10" s="963"/>
      <c r="I10" s="963"/>
      <c r="K10" s="394"/>
    </row>
    <row r="11" spans="1:11" ht="19.149999999999999" customHeight="1">
      <c r="A11" s="962" t="s">
        <v>5</v>
      </c>
      <c r="B11" s="962"/>
      <c r="C11" s="963" t="str">
        <f>IF(DATOS!G28&gt;0,DATOS!G28,"N/A")</f>
        <v>N/A</v>
      </c>
      <c r="D11" s="963"/>
      <c r="E11" s="963"/>
      <c r="F11" s="963"/>
      <c r="G11" s="963"/>
      <c r="H11" s="963"/>
      <c r="I11" s="963"/>
      <c r="K11" s="394"/>
    </row>
    <row r="12" spans="1:11" ht="19.149999999999999" customHeight="1">
      <c r="A12" s="962" t="s">
        <v>107</v>
      </c>
      <c r="B12" s="962"/>
      <c r="C12" s="963">
        <f>DATOS!G16</f>
        <v>0</v>
      </c>
      <c r="D12" s="963"/>
      <c r="E12" s="963"/>
      <c r="F12" s="963"/>
      <c r="G12" s="963"/>
      <c r="H12" s="963"/>
      <c r="I12" s="963"/>
      <c r="K12" s="394" t="str">
        <f>DATOS!M16</f>
        <v>la</v>
      </c>
    </row>
    <row r="13" spans="1:11" ht="19.149999999999999" customHeight="1">
      <c r="A13" s="962" t="s">
        <v>95</v>
      </c>
      <c r="B13" s="962"/>
      <c r="C13" s="1163">
        <f>DATOS!E18</f>
        <v>0</v>
      </c>
      <c r="D13" s="963"/>
      <c r="E13" s="963"/>
      <c r="F13" s="963"/>
      <c r="G13" s="963"/>
      <c r="H13" s="963"/>
      <c r="I13" s="963"/>
      <c r="K13" s="394"/>
    </row>
    <row r="14" spans="1:11" ht="19.149999999999999" customHeight="1">
      <c r="A14" s="962" t="s">
        <v>5</v>
      </c>
      <c r="B14" s="962"/>
      <c r="C14" s="963" t="str">
        <f>IF(DATOS!G20&gt;0,DATOS!G20,"N/A")</f>
        <v>N/A</v>
      </c>
      <c r="D14" s="963"/>
      <c r="E14" s="963"/>
      <c r="F14" s="963"/>
      <c r="G14" s="963"/>
      <c r="H14" s="963"/>
      <c r="I14" s="963"/>
      <c r="K14" s="394" t="str">
        <f>DATOS!M20</f>
        <v>la</v>
      </c>
    </row>
    <row r="15" spans="1:11" ht="66.599999999999994" customHeight="1">
      <c r="A15" s="962" t="s">
        <v>8</v>
      </c>
      <c r="B15" s="962"/>
      <c r="C15" s="968">
        <f>DATOS!E38</f>
        <v>0</v>
      </c>
      <c r="D15" s="968"/>
      <c r="E15" s="968"/>
      <c r="F15" s="968"/>
      <c r="G15" s="968"/>
      <c r="H15" s="968"/>
      <c r="I15" s="968"/>
    </row>
    <row r="16" spans="1:11" ht="19.149999999999999" customHeight="1">
      <c r="A16" s="962" t="s">
        <v>12</v>
      </c>
      <c r="B16" s="962"/>
      <c r="C16" s="969">
        <f>DATOS!E46</f>
        <v>0</v>
      </c>
      <c r="D16" s="969"/>
      <c r="E16" s="969"/>
      <c r="F16" s="969"/>
      <c r="G16" s="969"/>
      <c r="H16" s="969"/>
      <c r="I16" s="969"/>
    </row>
    <row r="17" spans="1:10" ht="19.149999999999999" customHeight="1">
      <c r="A17" s="962" t="s">
        <v>278</v>
      </c>
      <c r="B17" s="962"/>
      <c r="C17" s="969">
        <f>DATOS!E60</f>
        <v>30000000</v>
      </c>
      <c r="D17" s="969"/>
      <c r="E17" s="969"/>
      <c r="F17" s="969"/>
      <c r="G17" s="969"/>
      <c r="H17" s="969"/>
      <c r="I17" s="969"/>
    </row>
    <row r="18" spans="1:10" ht="19.149999999999999" customHeight="1">
      <c r="A18" s="962" t="s">
        <v>279</v>
      </c>
      <c r="B18" s="962"/>
      <c r="C18" s="969">
        <f>DATOS!E62</f>
        <v>0</v>
      </c>
      <c r="D18" s="969"/>
      <c r="E18" s="969"/>
      <c r="F18" s="969"/>
      <c r="G18" s="969"/>
      <c r="H18" s="969"/>
      <c r="I18" s="969"/>
    </row>
    <row r="19" spans="1:10" ht="19.149999999999999" customHeight="1">
      <c r="A19" s="962" t="s">
        <v>11</v>
      </c>
      <c r="B19" s="962"/>
      <c r="C19" s="963" t="str">
        <f>CONCATENATE(DATOS!E44,DATOS!F44,DATOS!G44)</f>
        <v xml:space="preserve"> </v>
      </c>
      <c r="D19" s="963"/>
      <c r="E19" s="963"/>
      <c r="F19" s="963"/>
      <c r="G19" s="963"/>
      <c r="H19" s="963"/>
      <c r="I19" s="963"/>
    </row>
    <row r="20" spans="1:10" ht="19.149999999999999" customHeight="1">
      <c r="A20" s="962" t="s">
        <v>280</v>
      </c>
      <c r="B20" s="962"/>
      <c r="C20" s="963" t="str">
        <f>IF(DATOS!E64&gt;0,CONCATENATE(DATOS!E64,DATOS!F64,DATOS!G64),0)</f>
        <v>5 MESES</v>
      </c>
      <c r="D20" s="963"/>
      <c r="E20" s="963"/>
      <c r="F20" s="963"/>
      <c r="G20" s="963"/>
      <c r="H20" s="963"/>
      <c r="I20" s="963"/>
    </row>
    <row r="21" spans="1:10" ht="19.149999999999999" customHeight="1">
      <c r="A21" s="962" t="s">
        <v>281</v>
      </c>
      <c r="B21" s="962"/>
      <c r="C21" s="963">
        <f>IF(DATOS!E66&gt;0,CONCATENATE(DATOS!E66,DATOS!F66,DATOS!G66),0)</f>
        <v>0</v>
      </c>
      <c r="D21" s="963"/>
      <c r="E21" s="963"/>
      <c r="F21" s="963"/>
      <c r="G21" s="963"/>
      <c r="H21" s="963"/>
      <c r="I21" s="963"/>
    </row>
    <row r="22" spans="1:10" ht="19.149999999999999" customHeight="1">
      <c r="A22" s="962" t="s">
        <v>282</v>
      </c>
      <c r="B22" s="962"/>
      <c r="C22" s="963">
        <f>IF(DATOS!E68&gt;0,CONCATENATE(DATOS!E68,DATOS!F68,DATOS!G68),0)</f>
        <v>0</v>
      </c>
      <c r="D22" s="963"/>
      <c r="E22" s="963"/>
      <c r="F22" s="963"/>
      <c r="G22" s="963"/>
      <c r="H22" s="963"/>
      <c r="I22" s="963"/>
    </row>
    <row r="23" spans="1:10" ht="27.6" customHeight="1">
      <c r="A23" s="53"/>
      <c r="B23" s="53"/>
      <c r="C23" s="53"/>
      <c r="D23" s="53"/>
      <c r="E23" s="53"/>
      <c r="F23" s="53"/>
      <c r="G23" s="53"/>
      <c r="H23" s="53"/>
      <c r="I23" s="53"/>
    </row>
    <row r="24" spans="1:10" ht="85.9" customHeight="1">
      <c r="A24" s="961" t="str">
        <f>IF(DATOS!E16="Persona Jurídica",IF(DATOS!E24="Persona Jurídica","En Popayán el día "&amp;IF((TEXT(DATOS!E84,"d"))="1",("Uno" &amp;" ("&amp;TEXT(DATOS!E84,"dd")&amp;") del mes de "&amp;TEXT(DATOS!E84,"mmmm")&amp;" de "&amp;TEXT(DATOS!E84,"yyyy")&amp;", se reunieron "&amp;DATOS!M28&amp;"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referencia."),LETRAS(TEXT(DATOS!E84,"d"))&amp;" ("&amp;TEXT(DATOS!E84,"dd")&amp;") del mes de "&amp;TEXT(DATOS!E84,"mmmm")&amp;" de "&amp;TEXT(DATOS!E84,"yyyy")&amp;", se reunieron "&amp;DATOS!M28&amp;"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referencia."),"En Popayán el día "&amp;IF((TEXT(DATOS!E84,"d"))="1",("Uno" &amp;" ("&amp;TEXT(DATOS!E84,"dd")&amp;") del mes de "&amp;TEXT(DATOS!E84,"mmmm")&amp;" de "&amp;TEXT(DATOS!E84,"yyyy")&amp;", se reunieron "&amp;K9&amp;"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referencia."),LETRAS(TEXT(DATOS!E84,"d"))&amp;" ("&amp;TEXT(DATOS!E84,"dd")&amp;") del mes de "&amp;TEXT(DATOS!E84,"mmmm")&amp;" de "&amp;TEXT(DATOS!E84,"yyyy")&amp;", se reunieron "&amp;K9&amp;"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referencia.")),IF(DATOS!E24="Persona Jurídica","En Popayán el día "&amp;IF((TEXT(DATOS!E84,"d"))="1",("Uno" &amp;" ("&amp;TEXT(DATOS!E84,"dd")&amp;") del mes de "&amp;TEXT(DATOS!E84,"mmmm")&amp;" de "&amp;TEXT(DATOS!E84,"yyyy")&amp;", se reunieron "&amp;DATOS!M28&amp;"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referencia."),LETRAS(TEXT(DATOS!E84,"d"))&amp;" ("&amp;TEXT(DATOS!E84,"dd")&amp;") del mes de "&amp;TEXT(DATOS!E84,"mmmm")&amp;" de "&amp;TEXT(DATOS!E84,"yyyy")&amp;", se reunieron "&amp;DATOS!M28&amp;"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referencia."),"En Popayán el día "&amp;IF((TEXT(DATOS!E84,"d"))="1",("Uno" &amp;" ("&amp;TEXT(DATOS!E84,"dd")&amp;") del mes de "&amp;TEXT(DATOS!E84,"mmmm")&amp;" de "&amp;TEXT(DATOS!E84,"yyyy")&amp;", se reunieron "&amp;K9&amp;" "&amp;DATOS!E24&amp;" "&amp;C9&amp;", en calidad de "&amp;A9&amp;" del "&amp;DATOS!E10&amp;" No. "&amp;DATOS!E12&amp;" "&amp;DATOS!G12&amp;" "&amp;DATOS!I12&amp;", por una parte, y por la otra "&amp;K12&amp;" "&amp;DATOS!E16&amp;" "&amp;C12&amp;" en calidad de "&amp;A12&amp;", para acordar la suspensión del contrato en referencia."),LETRAS(TEXT(DATOS!E84,"d"))&amp;" ("&amp;TEXT(DATOS!E84,"dd")&amp;") del mes de "&amp;TEXT(DATOS!E84,"mmmm")&amp;" de "&amp;TEXT(DATOS!E84,"yyyy")&amp;", se reunieron "&amp;K9&amp;" "&amp;DATOS!E24&amp;" "&amp;C9&amp;", en calidad de "&amp;A9&amp;" del "&amp;DATOS!E10&amp;" No. "&amp;DATOS!E12&amp;" "&amp;DATOS!G12&amp;" "&amp;DATOS!I12&amp;", por una parte, y por la otra "&amp;K12&amp;" "&amp;DATOS!E16&amp;" "&amp;C12&amp;" en calidad de "&amp;A12&amp;", para acordar la suspensión del contrato en referencia.")))</f>
        <v>En Popayán el día Veinte (20) del mes de June de 2016, se reunieron la  0, en calidad de SUPERVISOR del  No.   , por una parte, y por la otra la  0 en calidad de CONTRATISTA, para acordar la suspensión del contrato en referencia.</v>
      </c>
      <c r="B24" s="961"/>
      <c r="C24" s="961"/>
      <c r="D24" s="961"/>
      <c r="E24" s="961"/>
      <c r="F24" s="961"/>
      <c r="G24" s="961"/>
      <c r="H24" s="961"/>
      <c r="I24" s="961"/>
      <c r="J24" s="50"/>
    </row>
    <row r="25" spans="1:10" ht="15.75">
      <c r="A25" s="1165" t="s">
        <v>283</v>
      </c>
      <c r="B25" s="1165"/>
      <c r="C25" s="1165"/>
      <c r="D25" s="1165"/>
      <c r="E25" s="1165"/>
      <c r="F25" s="1165"/>
      <c r="G25" s="1165"/>
      <c r="H25" s="1165"/>
      <c r="I25" s="1165"/>
      <c r="J25" s="50"/>
    </row>
    <row r="26" spans="1:10" ht="15">
      <c r="A26" s="137"/>
      <c r="B26" s="137"/>
      <c r="C26" s="137"/>
      <c r="D26" s="137"/>
      <c r="E26" s="137"/>
      <c r="F26" s="137"/>
      <c r="G26" s="137"/>
      <c r="H26" s="137"/>
      <c r="I26" s="137"/>
      <c r="J26" s="50"/>
    </row>
    <row r="27" spans="1:10" ht="75" customHeight="1">
      <c r="A27" s="961" t="str">
        <f>"PRIMERO. - De común acuerdo suspender temporalmente el "&amp;DATOS!E10&amp;" No. "&amp;DATOS!E12&amp;" "&amp;DATOS!G12&amp;" "&amp;DATOS!I12&amp;", cuyo objeto es "&amp;DATOS!E38&amp;", teniendo en cuenta las siguientes consideraciones que han impedido la ejecución del mencionado contrato:"</f>
        <v>PRIMERO. - De común acuerdo suspender temporalmente el  No.   , cuyo objeto es , teniendo en cuenta las siguientes consideraciones que han impedido la ejecución del mencionado contrato:</v>
      </c>
      <c r="B27" s="961"/>
      <c r="C27" s="961"/>
      <c r="D27" s="961"/>
      <c r="E27" s="961"/>
      <c r="F27" s="961"/>
      <c r="G27" s="961"/>
      <c r="H27" s="961"/>
      <c r="I27" s="961"/>
      <c r="J27" s="50"/>
    </row>
    <row r="28" spans="1:10" ht="15">
      <c r="A28" s="1166" t="s">
        <v>335</v>
      </c>
      <c r="B28" s="961"/>
      <c r="C28" s="961"/>
      <c r="D28" s="961"/>
      <c r="E28" s="961"/>
      <c r="F28" s="961"/>
      <c r="G28" s="961"/>
      <c r="H28" s="961"/>
      <c r="I28" s="961"/>
      <c r="J28" s="50"/>
    </row>
    <row r="29" spans="1:10" ht="20.45" customHeight="1">
      <c r="A29" s="137"/>
      <c r="B29" s="137"/>
      <c r="C29" s="137"/>
      <c r="D29" s="137"/>
      <c r="E29" s="137"/>
      <c r="F29" s="137"/>
      <c r="G29" s="137"/>
      <c r="H29" s="137"/>
      <c r="I29" s="137"/>
      <c r="J29" s="50"/>
    </row>
    <row r="30" spans="1:10" ht="97.9" customHeight="1">
      <c r="A30" s="961" t="s">
        <v>284</v>
      </c>
      <c r="B30" s="961"/>
      <c r="C30" s="961"/>
      <c r="D30" s="961"/>
      <c r="E30" s="961"/>
      <c r="F30" s="961"/>
      <c r="G30" s="961"/>
      <c r="H30" s="961"/>
      <c r="I30" s="961"/>
      <c r="J30" s="50"/>
    </row>
    <row r="31" spans="1:10" ht="15">
      <c r="A31" s="53"/>
      <c r="B31" s="53"/>
      <c r="C31" s="53"/>
      <c r="D31" s="53"/>
      <c r="E31" s="53"/>
      <c r="F31" s="53"/>
      <c r="G31" s="53"/>
      <c r="H31" s="53"/>
      <c r="I31" s="53"/>
    </row>
    <row r="32" spans="1:10" ht="31.9" customHeight="1">
      <c r="A32" s="964" t="str">
        <f>"Para constancia de lo anterior, se firma en Popayán (Cauca) el día "&amp;IF((TEXT(DATOS!E84,"d"))="1",("Uno"&amp;" ("&amp;TEXT(DATOS!E84,"dd")&amp;") del mes de "&amp;TEXT(DATOS!E84,"mmmm")&amp;" de "&amp;LETRAS(TEXT(DATOS!E84,"YYYY"))&amp;" ("&amp;TEXT(DATOS!E84,"yyyy"))&amp;").",LETRAS(TEXT(DATOS!E84,"d"))&amp;" ("&amp;TEXT(DATOS!E84,"dd")&amp;") del mes de "&amp;TEXT(DATOS!E84,"mmmm")&amp;" de "&amp;LETRAS(TEXT(DATOS!E84,"YYYY"))&amp;" ("&amp;TEXT(DATOS!E84,"yyyy")&amp;").")</f>
        <v>Para constancia de lo anterior, se firma en Popayán (Cauca) el día Veinte (20) del mes de June de Dos Mil Dieciséis (2016).</v>
      </c>
      <c r="B32" s="964"/>
      <c r="C32" s="964"/>
      <c r="D32" s="964"/>
      <c r="E32" s="964"/>
      <c r="F32" s="964"/>
      <c r="G32" s="964"/>
      <c r="H32" s="964"/>
      <c r="I32" s="964"/>
    </row>
    <row r="33" spans="1:10" ht="15">
      <c r="A33" s="961"/>
      <c r="B33" s="961"/>
      <c r="C33" s="961"/>
      <c r="D33" s="961"/>
      <c r="E33" s="961"/>
      <c r="F33" s="961"/>
      <c r="G33" s="961"/>
      <c r="H33" s="961"/>
      <c r="I33" s="961"/>
      <c r="J33" s="50"/>
    </row>
    <row r="34" spans="1:10" ht="15">
      <c r="A34" s="53"/>
      <c r="B34" s="53"/>
      <c r="C34" s="53"/>
      <c r="D34" s="53"/>
      <c r="E34" s="53"/>
      <c r="F34" s="53"/>
      <c r="G34" s="53"/>
      <c r="H34" s="53"/>
      <c r="I34" s="53"/>
    </row>
    <row r="35" spans="1:10" ht="15">
      <c r="A35" s="53"/>
      <c r="B35" s="53"/>
      <c r="C35" s="53"/>
      <c r="D35" s="53"/>
      <c r="E35" s="53"/>
      <c r="F35" s="53"/>
      <c r="G35" s="53"/>
      <c r="H35" s="53"/>
      <c r="I35" s="53"/>
    </row>
    <row r="36" spans="1:10" ht="15">
      <c r="A36" s="53"/>
      <c r="B36" s="53"/>
      <c r="C36" s="53"/>
      <c r="D36" s="53"/>
      <c r="E36" s="53"/>
      <c r="F36" s="53"/>
      <c r="G36" s="53"/>
      <c r="H36" s="53"/>
      <c r="I36" s="53"/>
    </row>
    <row r="37" spans="1:10" ht="15">
      <c r="A37" s="53"/>
      <c r="B37" s="53"/>
      <c r="C37" s="53"/>
      <c r="D37" s="53"/>
      <c r="E37" s="53"/>
      <c r="F37" s="53"/>
      <c r="G37" s="53"/>
      <c r="H37" s="53"/>
      <c r="I37" s="53"/>
    </row>
    <row r="38" spans="1:10" ht="15.75">
      <c r="A38" s="53"/>
      <c r="B38" s="54">
        <f>IF(DATOS!E16="Persona Jurídica",DATOS!G20,DATOS!G16)</f>
        <v>0</v>
      </c>
      <c r="C38" s="53"/>
      <c r="D38" s="53"/>
      <c r="E38" s="53"/>
      <c r="F38" s="54">
        <f>IF(DATOS!E10="CONTRATO DE OBRA",IF(DATOS!E24="Persona Jurídica",DATOS!G28,DATOS!G24),DATOS!G30)</f>
        <v>0</v>
      </c>
      <c r="G38" s="53"/>
      <c r="H38" s="53"/>
      <c r="I38" s="53"/>
    </row>
    <row r="39" spans="1:10" ht="15">
      <c r="A39" s="53"/>
      <c r="B39" s="55" t="str">
        <f>IF(DATOS!E16="Persona Jurídica",DATOS!G16,"Contratista")</f>
        <v>Contratista</v>
      </c>
      <c r="C39" s="53"/>
      <c r="D39" s="53"/>
      <c r="E39" s="53"/>
      <c r="F39" s="55" t="str">
        <f>IF(DATOS!E24="Persona Jurídica",DATOS!G24,"Interventor")</f>
        <v>Interventor</v>
      </c>
      <c r="G39" s="53"/>
      <c r="H39" s="53"/>
      <c r="I39" s="53"/>
    </row>
    <row r="40" spans="1:10" ht="15">
      <c r="A40" s="53"/>
      <c r="B40" s="55" t="str">
        <f>IF(DATOS!E16="Persona jurídica","Contratista"," ")</f>
        <v xml:space="preserve"> </v>
      </c>
      <c r="C40" s="53"/>
      <c r="D40" s="53"/>
      <c r="E40" s="53"/>
      <c r="F40" s="55" t="str">
        <f>IF(DATOS!E24="Persona jurídica","Interventor"," ")</f>
        <v xml:space="preserve"> </v>
      </c>
      <c r="G40" s="53"/>
      <c r="H40" s="53"/>
      <c r="I40" s="53"/>
    </row>
    <row r="41" spans="1:10" ht="15">
      <c r="A41" s="53"/>
      <c r="B41" s="55"/>
      <c r="C41" s="53"/>
      <c r="D41" s="53"/>
      <c r="E41" s="53"/>
      <c r="F41" s="55"/>
      <c r="G41" s="53"/>
      <c r="H41" s="53"/>
      <c r="I41" s="53"/>
    </row>
    <row r="42" spans="1:10" ht="15">
      <c r="A42" s="53"/>
      <c r="B42" s="55"/>
      <c r="C42" s="53"/>
      <c r="D42" s="53"/>
      <c r="E42" s="53"/>
      <c r="F42" s="55"/>
      <c r="G42" s="53"/>
      <c r="H42" s="53"/>
      <c r="I42" s="53"/>
    </row>
    <row r="43" spans="1:10" ht="15">
      <c r="A43" s="53"/>
      <c r="B43" s="868"/>
      <c r="C43" s="53"/>
      <c r="D43" s="53"/>
      <c r="E43" s="53"/>
      <c r="F43" s="868"/>
      <c r="G43" s="53"/>
      <c r="H43" s="53"/>
      <c r="I43" s="53"/>
    </row>
    <row r="44" spans="1:10" ht="15">
      <c r="A44" s="53"/>
      <c r="B44" s="868"/>
      <c r="C44" s="53"/>
      <c r="D44" s="53"/>
      <c r="E44" s="53"/>
      <c r="F44" s="868"/>
      <c r="G44" s="53"/>
      <c r="H44" s="53"/>
      <c r="I44" s="53"/>
    </row>
    <row r="45" spans="1:10" ht="15">
      <c r="A45" s="53"/>
      <c r="B45" s="868"/>
      <c r="C45" s="53"/>
      <c r="D45" s="53"/>
      <c r="E45" s="53"/>
      <c r="F45" s="868"/>
      <c r="G45" s="53"/>
      <c r="H45" s="53"/>
      <c r="I45" s="53"/>
    </row>
    <row r="46" spans="1:10" ht="15.75">
      <c r="A46" s="53"/>
      <c r="B46" s="867">
        <f>DATOS!G30</f>
        <v>0</v>
      </c>
      <c r="C46" s="53"/>
      <c r="D46" s="53"/>
      <c r="E46" s="53"/>
      <c r="F46" s="867">
        <f>+DATOS!E42</f>
        <v>0</v>
      </c>
      <c r="G46" s="53"/>
      <c r="H46" s="53"/>
      <c r="I46" s="53"/>
    </row>
    <row r="47" spans="1:10" ht="15">
      <c r="A47" s="53"/>
      <c r="B47" s="868" t="s">
        <v>1143</v>
      </c>
      <c r="C47" s="53"/>
      <c r="D47" s="53"/>
      <c r="E47" s="53"/>
      <c r="F47" s="879" t="s">
        <v>330</v>
      </c>
      <c r="G47" s="53"/>
      <c r="H47" s="53"/>
      <c r="I47" s="53"/>
    </row>
    <row r="48" spans="1:10" ht="15">
      <c r="A48" s="53"/>
      <c r="B48" s="868"/>
      <c r="C48" s="53"/>
      <c r="D48" s="53"/>
      <c r="E48" s="53"/>
      <c r="F48" s="879" t="s">
        <v>270</v>
      </c>
      <c r="G48" s="53"/>
      <c r="H48" s="53"/>
      <c r="I48" s="53"/>
    </row>
    <row r="49" spans="1:10" ht="15">
      <c r="A49" s="53"/>
      <c r="B49" s="868"/>
      <c r="C49" s="53"/>
      <c r="D49" s="53"/>
      <c r="E49" s="53"/>
      <c r="F49" s="868"/>
      <c r="G49" s="53"/>
      <c r="H49" s="53"/>
      <c r="I49" s="53"/>
    </row>
    <row r="50" spans="1:10" ht="15">
      <c r="A50" s="53"/>
      <c r="B50" s="55"/>
      <c r="C50" s="53"/>
      <c r="D50" s="53"/>
      <c r="E50" s="53"/>
      <c r="F50" s="55"/>
      <c r="G50" s="53"/>
      <c r="H50" s="53"/>
      <c r="I50" s="53"/>
    </row>
    <row r="51" spans="1:10" ht="15">
      <c r="A51" s="53"/>
      <c r="B51" s="55"/>
      <c r="C51" s="53"/>
      <c r="D51" s="53"/>
      <c r="E51" s="53"/>
      <c r="F51" s="55"/>
      <c r="G51" s="53"/>
      <c r="H51" s="53"/>
      <c r="I51" s="53"/>
    </row>
    <row r="52" spans="1:10" ht="15">
      <c r="A52" s="53"/>
      <c r="B52" s="55"/>
      <c r="C52" s="53"/>
      <c r="D52" s="53"/>
      <c r="E52" s="53"/>
      <c r="F52" s="55"/>
      <c r="G52" s="53"/>
      <c r="H52" s="53"/>
      <c r="I52" s="53"/>
    </row>
    <row r="53" spans="1:10" ht="15.75">
      <c r="B53" s="867">
        <f>DATOS!E40</f>
        <v>0</v>
      </c>
      <c r="C53" s="876"/>
      <c r="D53" s="878"/>
      <c r="E53" s="876"/>
      <c r="G53" s="876"/>
      <c r="H53" s="876"/>
      <c r="I53" s="876"/>
    </row>
    <row r="54" spans="1:10" ht="15.6" customHeight="1">
      <c r="B54" s="880" t="s">
        <v>331</v>
      </c>
      <c r="C54" s="877"/>
      <c r="D54" s="878"/>
      <c r="E54" s="85"/>
      <c r="G54" s="85"/>
      <c r="H54" s="85"/>
      <c r="I54" s="85"/>
    </row>
    <row r="55" spans="1:10">
      <c r="A55" s="1256" t="s">
        <v>1149</v>
      </c>
      <c r="B55" s="1256"/>
      <c r="C55" s="1256"/>
      <c r="D55" s="1256"/>
      <c r="E55" s="85"/>
      <c r="G55" s="85"/>
      <c r="H55" s="85"/>
      <c r="I55" s="85"/>
    </row>
    <row r="56" spans="1:10" ht="15">
      <c r="A56" s="1256" t="s">
        <v>1150</v>
      </c>
      <c r="B56" s="1256"/>
      <c r="C56" s="1256"/>
      <c r="D56" s="1256"/>
      <c r="E56" s="53"/>
      <c r="F56" s="53"/>
      <c r="G56" s="53"/>
      <c r="H56" s="53"/>
      <c r="I56" s="53"/>
      <c r="J56" s="50"/>
    </row>
    <row r="57" spans="1:10">
      <c r="A57" s="1257" t="s">
        <v>1151</v>
      </c>
      <c r="B57" s="1257"/>
      <c r="C57" s="1257"/>
      <c r="D57" s="1257"/>
    </row>
  </sheetData>
  <mergeCells count="55">
    <mergeCell ref="A55:D55"/>
    <mergeCell ref="A56:D56"/>
    <mergeCell ref="A57:D57"/>
    <mergeCell ref="A33:I33"/>
    <mergeCell ref="A28:I28"/>
    <mergeCell ref="A20:B20"/>
    <mergeCell ref="C20:I20"/>
    <mergeCell ref="A21:B21"/>
    <mergeCell ref="C21:I21"/>
    <mergeCell ref="A22:B22"/>
    <mergeCell ref="C22:I22"/>
    <mergeCell ref="A24:I24"/>
    <mergeCell ref="A25:I25"/>
    <mergeCell ref="A27:I27"/>
    <mergeCell ref="A30:I30"/>
    <mergeCell ref="A32:I32"/>
    <mergeCell ref="A17:B17"/>
    <mergeCell ref="C17:I17"/>
    <mergeCell ref="A18:B18"/>
    <mergeCell ref="C18:I18"/>
    <mergeCell ref="A19:B19"/>
    <mergeCell ref="C19:I19"/>
    <mergeCell ref="A14:B14"/>
    <mergeCell ref="C14:I14"/>
    <mergeCell ref="A15:B15"/>
    <mergeCell ref="C15:I15"/>
    <mergeCell ref="A16:B16"/>
    <mergeCell ref="C16:I16"/>
    <mergeCell ref="A11:B11"/>
    <mergeCell ref="C11:I11"/>
    <mergeCell ref="A12:B12"/>
    <mergeCell ref="C12:I12"/>
    <mergeCell ref="A13:B13"/>
    <mergeCell ref="C13:I13"/>
    <mergeCell ref="A8:B8"/>
    <mergeCell ref="C8:I8"/>
    <mergeCell ref="A9:B9"/>
    <mergeCell ref="C9:I9"/>
    <mergeCell ref="A10:B10"/>
    <mergeCell ref="C10:I10"/>
    <mergeCell ref="A4:I4"/>
    <mergeCell ref="A6:B6"/>
    <mergeCell ref="E6:F6"/>
    <mergeCell ref="G6:H6"/>
    <mergeCell ref="A7:B7"/>
    <mergeCell ref="C7:I7"/>
    <mergeCell ref="A1:A3"/>
    <mergeCell ref="B1:E2"/>
    <mergeCell ref="F1:G1"/>
    <mergeCell ref="H1:I1"/>
    <mergeCell ref="F2:G2"/>
    <mergeCell ref="H2:I2"/>
    <mergeCell ref="B3:E3"/>
    <mergeCell ref="F3:G3"/>
    <mergeCell ref="H3:I3"/>
  </mergeCells>
  <conditionalFormatting sqref="C17:I17">
    <cfRule type="expression" dxfId="63" priority="5">
      <formula>$C$17&lt;=0</formula>
    </cfRule>
  </conditionalFormatting>
  <conditionalFormatting sqref="C18:I18">
    <cfRule type="expression" dxfId="62" priority="4">
      <formula>$C$18&lt;=0</formula>
    </cfRule>
  </conditionalFormatting>
  <conditionalFormatting sqref="C20:I20">
    <cfRule type="expression" dxfId="61" priority="3">
      <formula>$C$20&lt;=0</formula>
    </cfRule>
  </conditionalFormatting>
  <conditionalFormatting sqref="C22:I22">
    <cfRule type="expression" dxfId="60" priority="2">
      <formula>$C$22&lt;=0</formula>
    </cfRule>
  </conditionalFormatting>
  <conditionalFormatting sqref="C21:I21">
    <cfRule type="expression" dxfId="59" priority="1">
      <formula>$C$21&lt;=0</formula>
    </cfRule>
  </conditionalFormatting>
  <printOptions horizontalCentered="1"/>
  <pageMargins left="0.78740157480314965" right="0.39370078740157483" top="0.59055118110236227" bottom="1.2598425196850394" header="0.31496062992125984" footer="0.11811023622047245"/>
  <pageSetup scale="82" orientation="portrait" r:id="rId1"/>
  <headerFooter>
    <oddFooter>&amp;L&amp;G&amp;R&amp;"-,Cursiva"&amp;9Página &amp;P de &amp;N&amp;"-,Normal"&amp;11
&amp;G</oddFooter>
  </headerFooter>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dimension ref="A1:L63"/>
  <sheetViews>
    <sheetView zoomScaleNormal="100" zoomScaleSheetLayoutView="90" workbookViewId="0">
      <selection activeCell="M6" sqref="M6"/>
    </sheetView>
  </sheetViews>
  <sheetFormatPr baseColWidth="10" defaultColWidth="11.5703125" defaultRowHeight="14.25"/>
  <cols>
    <col min="1" max="1" width="24.5703125" style="42" customWidth="1"/>
    <col min="2" max="2" width="15.85546875" style="42" customWidth="1"/>
    <col min="3" max="3" width="37.42578125" style="42" customWidth="1"/>
    <col min="4" max="4" width="7.28515625" style="42" customWidth="1"/>
    <col min="5" max="5" width="2.28515625" style="42" customWidth="1"/>
    <col min="6" max="6" width="8.5703125" style="42" customWidth="1"/>
    <col min="7" max="7" width="6.28515625" style="42" customWidth="1"/>
    <col min="8" max="8" width="4.28515625" style="42" customWidth="1"/>
    <col min="9" max="9" width="6" style="42" customWidth="1"/>
    <col min="10" max="10" width="11.5703125" style="42" customWidth="1"/>
    <col min="11" max="11" width="0" style="42" hidden="1" customWidth="1"/>
    <col min="12" max="16384" width="11.5703125" style="42"/>
  </cols>
  <sheetData>
    <row r="1" spans="1:12" ht="24.6" customHeight="1">
      <c r="A1" s="972"/>
      <c r="B1" s="973" t="s">
        <v>295</v>
      </c>
      <c r="C1" s="973"/>
      <c r="D1" s="973"/>
      <c r="E1" s="973"/>
      <c r="F1" s="975" t="s">
        <v>90</v>
      </c>
      <c r="G1" s="975"/>
      <c r="H1" s="970" t="s">
        <v>1133</v>
      </c>
      <c r="I1" s="970"/>
      <c r="J1" s="41"/>
    </row>
    <row r="2" spans="1:12" ht="24.6" customHeight="1">
      <c r="A2" s="972"/>
      <c r="B2" s="973"/>
      <c r="C2" s="973"/>
      <c r="D2" s="973"/>
      <c r="E2" s="973"/>
      <c r="F2" s="975" t="s">
        <v>89</v>
      </c>
      <c r="G2" s="975"/>
      <c r="H2" s="970" t="s">
        <v>248</v>
      </c>
      <c r="I2" s="970"/>
      <c r="J2" s="41"/>
    </row>
    <row r="3" spans="1:12" ht="24.6" customHeight="1">
      <c r="A3" s="972"/>
      <c r="B3" s="970" t="s">
        <v>93</v>
      </c>
      <c r="C3" s="970"/>
      <c r="D3" s="970"/>
      <c r="E3" s="970"/>
      <c r="F3" s="1160" t="s">
        <v>88</v>
      </c>
      <c r="G3" s="1161"/>
      <c r="H3" s="971">
        <v>42705</v>
      </c>
      <c r="I3" s="970"/>
      <c r="J3" s="41"/>
    </row>
    <row r="4" spans="1:12" ht="34.9" customHeight="1">
      <c r="A4" s="1019" t="s">
        <v>287</v>
      </c>
      <c r="B4" s="1162"/>
      <c r="C4" s="1162"/>
      <c r="D4" s="1162"/>
      <c r="E4" s="1162"/>
      <c r="F4" s="1162"/>
      <c r="G4" s="1162"/>
      <c r="H4" s="1162"/>
      <c r="I4" s="1162"/>
      <c r="J4" s="41"/>
    </row>
    <row r="5" spans="1:12" ht="3" customHeight="1">
      <c r="A5" s="469"/>
      <c r="B5" s="138"/>
      <c r="C5" s="138"/>
      <c r="D5" s="138"/>
      <c r="E5" s="138"/>
      <c r="F5" s="138"/>
      <c r="G5" s="138"/>
      <c r="H5" s="138"/>
      <c r="I5" s="138"/>
      <c r="J5" s="41"/>
    </row>
    <row r="6" spans="1:12" ht="19.149999999999999" customHeight="1">
      <c r="A6" s="962" t="s">
        <v>1</v>
      </c>
      <c r="B6" s="962"/>
      <c r="C6" s="51">
        <f>DATOS!$E$10</f>
        <v>0</v>
      </c>
      <c r="D6" s="181" t="s">
        <v>92</v>
      </c>
      <c r="E6" s="974">
        <f>DATOS!E12</f>
        <v>0</v>
      </c>
      <c r="F6" s="974"/>
      <c r="G6" s="962" t="s">
        <v>86</v>
      </c>
      <c r="H6" s="962"/>
      <c r="I6" s="468">
        <f>DATOS!I12</f>
        <v>0</v>
      </c>
      <c r="J6" s="41"/>
    </row>
    <row r="7" spans="1:12" ht="19.149999999999999" customHeight="1">
      <c r="A7" s="962" t="s">
        <v>94</v>
      </c>
      <c r="B7" s="962"/>
      <c r="C7" s="963" t="s">
        <v>101</v>
      </c>
      <c r="D7" s="963"/>
      <c r="E7" s="963"/>
      <c r="F7" s="963"/>
      <c r="G7" s="963"/>
      <c r="H7" s="963"/>
      <c r="I7" s="963"/>
      <c r="J7" s="41"/>
    </row>
    <row r="8" spans="1:12" ht="19.149999999999999" customHeight="1">
      <c r="A8" s="962" t="s">
        <v>95</v>
      </c>
      <c r="B8" s="962"/>
      <c r="C8" s="963" t="s">
        <v>102</v>
      </c>
      <c r="D8" s="963"/>
      <c r="E8" s="963"/>
      <c r="F8" s="963"/>
      <c r="G8" s="963"/>
      <c r="H8" s="963"/>
      <c r="I8" s="963"/>
      <c r="J8" s="41"/>
    </row>
    <row r="9" spans="1:12" ht="19.149999999999999" customHeight="1">
      <c r="A9" s="962" t="str">
        <f>IF('REINIC 3'!C6="CONTRATO DE OBRA",("INTERVENTOR"),("SUPERVISOR"))</f>
        <v>SUPERVISOR</v>
      </c>
      <c r="B9" s="962"/>
      <c r="C9" s="963">
        <f>LOOKUP(A9,DATOS!C24:C30,DATOS!G24:G30)</f>
        <v>0</v>
      </c>
      <c r="D9" s="963"/>
      <c r="E9" s="963"/>
      <c r="F9" s="963"/>
      <c r="G9" s="963"/>
      <c r="H9" s="963"/>
      <c r="I9" s="963"/>
      <c r="K9" s="394" t="str">
        <f>LOOKUP(A9,DATOS!C24:C30,DATOS!M24:M30)</f>
        <v>la</v>
      </c>
    </row>
    <row r="10" spans="1:12" ht="19.149999999999999" customHeight="1">
      <c r="A10" s="962" t="s">
        <v>95</v>
      </c>
      <c r="B10" s="962"/>
      <c r="C10" s="963">
        <f>IF(A9=DATOS!C24,DATOS!E26,DATOS!E32)</f>
        <v>0</v>
      </c>
      <c r="D10" s="963"/>
      <c r="E10" s="963"/>
      <c r="F10" s="963"/>
      <c r="G10" s="963"/>
      <c r="H10" s="963"/>
      <c r="I10" s="963"/>
      <c r="K10" s="394"/>
    </row>
    <row r="11" spans="1:12" ht="19.149999999999999" customHeight="1">
      <c r="A11" s="962" t="s">
        <v>5</v>
      </c>
      <c r="B11" s="962"/>
      <c r="C11" s="963" t="str">
        <f>IF(DATOS!G28&gt;0,DATOS!G28,"N/A")</f>
        <v>N/A</v>
      </c>
      <c r="D11" s="963"/>
      <c r="E11" s="963"/>
      <c r="F11" s="963"/>
      <c r="G11" s="963"/>
      <c r="H11" s="963"/>
      <c r="I11" s="963"/>
      <c r="K11" s="394"/>
    </row>
    <row r="12" spans="1:12" ht="19.149999999999999" customHeight="1">
      <c r="A12" s="962" t="s">
        <v>107</v>
      </c>
      <c r="B12" s="962"/>
      <c r="C12" s="963">
        <f>DATOS!G16</f>
        <v>0</v>
      </c>
      <c r="D12" s="963"/>
      <c r="E12" s="963"/>
      <c r="F12" s="963"/>
      <c r="G12" s="963"/>
      <c r="H12" s="963"/>
      <c r="I12" s="963"/>
      <c r="K12" s="394" t="str">
        <f>DATOS!M16</f>
        <v>la</v>
      </c>
    </row>
    <row r="13" spans="1:12" ht="19.149999999999999" customHeight="1">
      <c r="A13" s="962" t="s">
        <v>95</v>
      </c>
      <c r="B13" s="962"/>
      <c r="C13" s="1163">
        <f>DATOS!E18</f>
        <v>0</v>
      </c>
      <c r="D13" s="963"/>
      <c r="E13" s="963"/>
      <c r="F13" s="963"/>
      <c r="G13" s="963"/>
      <c r="H13" s="963"/>
      <c r="I13" s="963"/>
      <c r="K13" s="394"/>
    </row>
    <row r="14" spans="1:12" ht="19.149999999999999" customHeight="1">
      <c r="A14" s="962" t="s">
        <v>5</v>
      </c>
      <c r="B14" s="962"/>
      <c r="C14" s="963" t="str">
        <f>IF(DATOS!G20&gt;0,DATOS!G20,"N/A")</f>
        <v>N/A</v>
      </c>
      <c r="D14" s="963"/>
      <c r="E14" s="963"/>
      <c r="F14" s="963"/>
      <c r="G14" s="963"/>
      <c r="H14" s="963"/>
      <c r="I14" s="963"/>
      <c r="K14" s="394" t="str">
        <f>DATOS!M20</f>
        <v>la</v>
      </c>
    </row>
    <row r="15" spans="1:12" ht="66.599999999999994" customHeight="1">
      <c r="A15" s="962" t="s">
        <v>8</v>
      </c>
      <c r="B15" s="962"/>
      <c r="C15" s="968">
        <f>DATOS!E38</f>
        <v>0</v>
      </c>
      <c r="D15" s="968"/>
      <c r="E15" s="968"/>
      <c r="F15" s="968"/>
      <c r="G15" s="968"/>
      <c r="H15" s="968"/>
      <c r="I15" s="968"/>
    </row>
    <row r="16" spans="1:12" ht="19.149999999999999" customHeight="1">
      <c r="A16" s="962" t="s">
        <v>12</v>
      </c>
      <c r="B16" s="962"/>
      <c r="C16" s="969">
        <f>DATOS!E46</f>
        <v>0</v>
      </c>
      <c r="D16" s="969"/>
      <c r="E16" s="969"/>
      <c r="F16" s="969"/>
      <c r="G16" s="969"/>
      <c r="H16" s="969"/>
      <c r="I16" s="969"/>
      <c r="L16" s="403" t="s">
        <v>394</v>
      </c>
    </row>
    <row r="17" spans="1:10" ht="19.149999999999999" customHeight="1">
      <c r="A17" s="1167" t="s">
        <v>391</v>
      </c>
      <c r="B17" s="1168"/>
      <c r="C17" s="1169">
        <f>IF(C18="","",DATOS!E174)</f>
        <v>42602</v>
      </c>
      <c r="D17" s="1170"/>
      <c r="E17" s="1170"/>
      <c r="F17" s="1170"/>
      <c r="G17" s="1170"/>
      <c r="H17" s="1170"/>
      <c r="I17" s="1171"/>
    </row>
    <row r="18" spans="1:10" ht="19.149999999999999" customHeight="1">
      <c r="A18" s="962" t="s">
        <v>278</v>
      </c>
      <c r="B18" s="962"/>
      <c r="C18" s="1172">
        <f>DATOS!E60</f>
        <v>30000000</v>
      </c>
      <c r="D18" s="1173"/>
      <c r="E18" s="1173"/>
      <c r="F18" s="1173"/>
      <c r="G18" s="1173"/>
      <c r="H18" s="1173"/>
      <c r="I18" s="1174"/>
    </row>
    <row r="19" spans="1:10" ht="19.149999999999999" customHeight="1">
      <c r="A19" s="1167" t="s">
        <v>392</v>
      </c>
      <c r="B19" s="1168"/>
      <c r="C19" s="1172">
        <f>IF(C20="","",DATOS!E176)</f>
        <v>0</v>
      </c>
      <c r="D19" s="1173"/>
      <c r="E19" s="1173"/>
      <c r="F19" s="1173"/>
      <c r="G19" s="1173"/>
      <c r="H19" s="1173"/>
      <c r="I19" s="1174"/>
    </row>
    <row r="20" spans="1:10" ht="19.149999999999999" customHeight="1">
      <c r="A20" s="962" t="s">
        <v>279</v>
      </c>
      <c r="B20" s="962"/>
      <c r="C20" s="1172">
        <f>DATOS!E62</f>
        <v>0</v>
      </c>
      <c r="D20" s="1173"/>
      <c r="E20" s="1173"/>
      <c r="F20" s="1173"/>
      <c r="G20" s="1173"/>
      <c r="H20" s="1173"/>
      <c r="I20" s="1174"/>
    </row>
    <row r="21" spans="1:10" ht="19.149999999999999" customHeight="1">
      <c r="A21" s="962" t="s">
        <v>11</v>
      </c>
      <c r="B21" s="962"/>
      <c r="C21" s="1175" t="str">
        <f>CONCATENATE(DATOS!E44,DATOS!F44,DATOS!G44)</f>
        <v xml:space="preserve"> </v>
      </c>
      <c r="D21" s="1176"/>
      <c r="E21" s="1176"/>
      <c r="F21" s="1176"/>
      <c r="G21" s="1176"/>
      <c r="H21" s="1176"/>
      <c r="I21" s="1177"/>
    </row>
    <row r="22" spans="1:10" ht="19.149999999999999" customHeight="1">
      <c r="A22" s="962" t="s">
        <v>388</v>
      </c>
      <c r="B22" s="962"/>
      <c r="C22" s="1169">
        <f>IF(C23="","",DATOS!E174)</f>
        <v>42602</v>
      </c>
      <c r="D22" s="1170"/>
      <c r="E22" s="1170"/>
      <c r="F22" s="1170"/>
      <c r="G22" s="1170"/>
      <c r="H22" s="1170"/>
      <c r="I22" s="1171"/>
    </row>
    <row r="23" spans="1:10" ht="19.149999999999999" customHeight="1">
      <c r="A23" s="962" t="s">
        <v>280</v>
      </c>
      <c r="B23" s="962"/>
      <c r="C23" s="1175" t="str">
        <f>IF(DATOS!E64&gt;0,CONCATENATE(DATOS!E64,DATOS!F64,DATOS!G64),0)</f>
        <v>5 MESES</v>
      </c>
      <c r="D23" s="1176"/>
      <c r="E23" s="1176"/>
      <c r="F23" s="1176"/>
      <c r="G23" s="1176"/>
      <c r="H23" s="1176"/>
      <c r="I23" s="1177"/>
    </row>
    <row r="24" spans="1:10" ht="19.149999999999999" customHeight="1">
      <c r="A24" s="1167" t="s">
        <v>389</v>
      </c>
      <c r="B24" s="1168"/>
      <c r="C24" s="1169">
        <f>IF(C20="","",DATOS!E176)</f>
        <v>0</v>
      </c>
      <c r="D24" s="1170"/>
      <c r="E24" s="1170"/>
      <c r="F24" s="1170"/>
      <c r="G24" s="1170"/>
      <c r="H24" s="1170"/>
      <c r="I24" s="1171"/>
    </row>
    <row r="25" spans="1:10" ht="19.149999999999999" customHeight="1">
      <c r="A25" s="962" t="s">
        <v>281</v>
      </c>
      <c r="B25" s="962"/>
      <c r="C25" s="1175">
        <f>IF(DATOS!E66&gt;0,CONCATENATE(DATOS!E66,DATOS!F66,DATOS!G66),0)</f>
        <v>0</v>
      </c>
      <c r="D25" s="1176"/>
      <c r="E25" s="1176"/>
      <c r="F25" s="1176"/>
      <c r="G25" s="1176"/>
      <c r="H25" s="1176"/>
      <c r="I25" s="1177"/>
    </row>
    <row r="26" spans="1:10" ht="19.149999999999999" customHeight="1">
      <c r="A26" s="1167" t="s">
        <v>390</v>
      </c>
      <c r="B26" s="1168"/>
      <c r="C26" s="1169">
        <f>IF(C27="","",DATOS!E178)</f>
        <v>0</v>
      </c>
      <c r="D26" s="1170"/>
      <c r="E26" s="1170"/>
      <c r="F26" s="1170"/>
      <c r="G26" s="1170"/>
      <c r="H26" s="1170"/>
      <c r="I26" s="1171"/>
    </row>
    <row r="27" spans="1:10" ht="19.149999999999999" customHeight="1">
      <c r="A27" s="962" t="s">
        <v>282</v>
      </c>
      <c r="B27" s="962"/>
      <c r="C27" s="1175">
        <f>IF(DATOS!E68&gt;0,CONCATENATE(DATOS!E68,DATOS!F68,DATOS!G68),0)</f>
        <v>0</v>
      </c>
      <c r="D27" s="1176"/>
      <c r="E27" s="1176"/>
      <c r="F27" s="1176"/>
      <c r="G27" s="1176"/>
      <c r="H27" s="1176"/>
      <c r="I27" s="1177"/>
    </row>
    <row r="28" spans="1:10" ht="27.6" customHeight="1">
      <c r="A28" s="53"/>
      <c r="B28" s="53"/>
      <c r="C28" s="53"/>
      <c r="D28" s="53"/>
      <c r="E28" s="53"/>
      <c r="F28" s="53"/>
      <c r="G28" s="53"/>
      <c r="H28" s="53"/>
      <c r="I28" s="53"/>
    </row>
    <row r="29" spans="1:10" ht="75" customHeight="1">
      <c r="A29" s="961" t="str">
        <f>IF(DATOS!E16="Persona Jurídica",IF(DATOS!E24="Persona Jurídica","En Popayán el día "&amp;IF((TEXT(DATOS!E86,"d"))="1",("Uno" &amp;" ("&amp;TEXT(DATOS!E86,"dd")&amp;") del mes de "&amp;TEXT(DATOS!E86,"mmmm")&amp;" de "&amp;TEXT(DATOS!E86,"yyyy")&amp;",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el reinicio del contrato en referencia."),LETRAS(TEXT(DATOS!E86,"d"))&amp;" ("&amp;TEXT(DATOS!E86,"dd")&amp;") del mes de "&amp;TEXT(DATOS!E86,"mmmm")&amp;" de "&amp;TEXT(DATOS!E86,"yyyy")&amp;",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el reinicio del contrato en referencia."),"En Popayán el día "&amp;IF((TEXT(DATOS!E86,"d"))="1",("Uno" &amp;" ("&amp;TEXT(DATOS!E86,"dd")&amp;") del mes de "&amp;TEXT(DATOS!E86,"mmmm")&amp;" de "&amp;TEXT(DATOS!E86,"yyyy")&amp;", se reunieron "&amp;DATOS!E40&amp;" en calidad de Gerente de Emcaservicios S.A. E.S.P.,"&amp;K9&amp;" "&amp;DATOS!E24&amp;" "&amp;C9&amp;", en calidad de "&amp;A9&amp;" del "&amp;DATOS!E10&amp;" No. "&amp;DATOS!E12&amp;" "&amp;DATOS!G12&amp;" "&amp;DATOS!I12&amp;", por una parte, y por la otra "&amp;K14&amp;" "&amp;DATOS!E20&amp;" "&amp;C14&amp;" Representante legal de "&amp;C12&amp;" en calidad de "&amp;A12&amp;", para acordar el reinicio del contrato en referencia."),LETRAS(TEXT(DATOS!E86,"d"))&amp;" ("&amp;TEXT(DATOS!E86,"dd")&amp;") del mes de "&amp;TEXT(DATOS!E86,"mmmm")&amp;" de "&amp;TEXT(DATOS!E86,"yyyy")&amp;", se reunieron "&amp;DATOS!E40&amp;" en calidad de Gerente de Emcaservicios S.A. E.S.P.,"&amp;K9&amp;" "&amp;DATOS!E24&amp;" "&amp;C9&amp;", en calidad de "&amp;A9&amp;" del "&amp;DATOS!E10&amp;" No. "&amp;DATOS!E12&amp;" "&amp;DATOS!G12&amp;" "&amp;DATOS!I12&amp;", por una parte, y por la otra "&amp;K14&amp;" "&amp;DATOS!E20&amp;" "&amp;C14&amp;" Representante legal de "&amp;C12&amp;" en calidad de "&amp;A12&amp;", para acordar el reinicio del contrato en referencia.")),IF(DATOS!E24="Persona Jurídica","En Popayán el día "&amp;IF((TEXT(DATOS!E86,"d"))="1",("Uno" &amp;" ("&amp;TEXT(DATOS!E86,"dd")&amp;") del mes de "&amp;TEXT(DATOS!E86,"mmmm")&amp;" de "&amp;TEXT(DATOS!E74,"yyyy")&amp;",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"&amp;K12&amp;" "&amp;DATOS!E16&amp;" "&amp;C12&amp;" en calidad de "&amp;A12&amp;", para acordar el reinicio del contrato en referencia."),LETRAS(TEXT(DATOS!E86,"d"))&amp;" ("&amp;TEXT(DATOS!E86,"dd")&amp;") del mes de "&amp;TEXT(DATOS!E86,"mmmm")&amp;" de "&amp;TEXT(DATOS!E86,"yyyy")&amp;",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"&amp;K12&amp;" "&amp;DATOS!E16&amp;" "&amp;C12&amp;" en calidad de "&amp;A12&amp;", para acordar el reinicio del contrato en referencia."),"En Popayán el día "&amp;IF((TEXT(DATOS!E86,"d"))="1",("Uno" &amp;" ("&amp;TEXT(DATOS!E86,"dd")&amp;") del mes de "&amp;TEXT(DATOS!E86,"mmmm")&amp;" de "&amp;TEXT(DATOS!E86,"yyyy")&amp;", se reunieron "&amp;DATOS!E40&amp;" en calidad de Gerente de Emcaservicios S.A. E.S.P.,"&amp;K9&amp;" "&amp;DATOS!E24&amp;" "&amp;C9&amp;", en calidad de "&amp;A9&amp;" del "&amp;DATOS!E10&amp;" No. "&amp;DATOS!E12&amp;" "&amp;DATOS!G12&amp;" "&amp;DATOS!I12&amp;", por una parte, y por la otra "&amp;K12&amp;" "&amp;DATOS!E16&amp;" "&amp;C12&amp;" en calidad de "&amp;A12&amp;", para acordar el reinicio del contrato en referencia."),LETRAS(TEXT(DATOS!E86,"d"))&amp;" ("&amp;TEXT(DATOS!E86,"dd")&amp;") del mes de "&amp;TEXT(DATOS!E86,"mmmm")&amp;" de "&amp;TEXT(DATOS!E86,"yyyy")&amp;", se reunieron "&amp;DATOS!E40&amp;" en calidad de Gerente de Emcaservicios S.A. E.S.P.,"&amp;K9&amp;" "&amp;DATOS!E24&amp;" "&amp;C9&amp;", en calidad de "&amp;A9&amp;" del "&amp;DATOS!E10&amp;" No. "&amp;DATOS!E12&amp;" "&amp;DATOS!G12&amp;" "&amp;DATOS!I12&amp;", por una parte, y por la otra "&amp;K12&amp;" "&amp;DATOS!E16&amp;" "&amp;C12&amp;" en calidad de "&amp;A12&amp;", para acordar el reinicio del contrato en referencia.")))</f>
        <v>En Popayán el día Veinticinco (25) del mes de June de 2016, se reunieron  en calidad de Gerente de Emcaservicios S.A. E.S.P.,la  0, en calidad de SUPERVISOR del  No.   , por una parte, y por la otra la  0 en calidad de CONTRATISTA, para acordar el reinicio del contrato en referencia.</v>
      </c>
      <c r="B29" s="961"/>
      <c r="C29" s="961"/>
      <c r="D29" s="961"/>
      <c r="E29" s="961"/>
      <c r="F29" s="961"/>
      <c r="G29" s="961"/>
      <c r="H29" s="961"/>
      <c r="I29" s="961"/>
      <c r="J29" s="50"/>
    </row>
    <row r="30" spans="1:10" ht="15">
      <c r="A30" s="467"/>
      <c r="B30" s="467"/>
      <c r="C30" s="467"/>
      <c r="D30" s="467"/>
      <c r="E30" s="467"/>
      <c r="F30" s="467"/>
      <c r="G30" s="467"/>
      <c r="H30" s="467"/>
      <c r="I30" s="467"/>
      <c r="J30" s="50"/>
    </row>
    <row r="31" spans="1:10" ht="15">
      <c r="A31" s="961" t="s">
        <v>336</v>
      </c>
      <c r="B31" s="961"/>
      <c r="C31" s="961"/>
      <c r="D31" s="961"/>
      <c r="E31" s="961"/>
      <c r="F31" s="961"/>
      <c r="G31" s="961"/>
      <c r="H31" s="961"/>
      <c r="I31" s="961"/>
      <c r="J31" s="50"/>
    </row>
    <row r="32" spans="1:10" ht="15">
      <c r="A32" s="467"/>
      <c r="B32" s="467"/>
      <c r="C32" s="467"/>
      <c r="D32" s="467"/>
      <c r="E32" s="467"/>
      <c r="F32" s="467"/>
      <c r="G32" s="467"/>
      <c r="H32" s="467"/>
      <c r="I32" s="467"/>
      <c r="J32" s="50"/>
    </row>
    <row r="33" spans="1:10" ht="27" customHeight="1">
      <c r="A33" s="1166" t="s">
        <v>335</v>
      </c>
      <c r="B33" s="961"/>
      <c r="C33" s="961"/>
      <c r="D33" s="961"/>
      <c r="E33" s="961"/>
      <c r="F33" s="961"/>
      <c r="G33" s="961"/>
      <c r="H33" s="961"/>
      <c r="I33" s="961"/>
      <c r="J33" s="50"/>
    </row>
    <row r="34" spans="1:10" ht="15">
      <c r="A34" s="467"/>
      <c r="B34" s="467"/>
      <c r="C34" s="467"/>
      <c r="D34" s="467"/>
      <c r="E34" s="467"/>
      <c r="F34" s="467"/>
      <c r="G34" s="467"/>
      <c r="H34" s="467"/>
      <c r="I34" s="467"/>
      <c r="J34" s="50"/>
    </row>
    <row r="35" spans="1:10" ht="15.75">
      <c r="A35" s="1165" t="s">
        <v>283</v>
      </c>
      <c r="B35" s="1165"/>
      <c r="C35" s="1165"/>
      <c r="D35" s="1165"/>
      <c r="E35" s="1165"/>
      <c r="F35" s="1165"/>
      <c r="G35" s="1165"/>
      <c r="H35" s="1165"/>
      <c r="I35" s="1165"/>
      <c r="J35" s="50"/>
    </row>
    <row r="36" spans="1:10" ht="15">
      <c r="A36" s="467"/>
      <c r="B36" s="467"/>
      <c r="C36" s="467"/>
      <c r="D36" s="467"/>
      <c r="E36" s="467"/>
      <c r="F36" s="467"/>
      <c r="G36" s="467"/>
      <c r="H36" s="467"/>
      <c r="I36" s="467"/>
      <c r="J36" s="50"/>
    </row>
    <row r="37" spans="1:10" ht="48.6" customHeight="1">
      <c r="A37" s="1178" t="s">
        <v>387</v>
      </c>
      <c r="B37" s="1178"/>
      <c r="C37" s="1178"/>
      <c r="D37" s="1178"/>
      <c r="E37" s="1178"/>
      <c r="F37" s="1178"/>
      <c r="G37" s="1178"/>
      <c r="H37" s="1178"/>
      <c r="I37" s="1178"/>
      <c r="J37" s="50"/>
    </row>
    <row r="38" spans="1:10" ht="15">
      <c r="A38" s="467"/>
      <c r="B38" s="467"/>
      <c r="C38" s="467"/>
      <c r="D38" s="467"/>
      <c r="E38" s="467"/>
      <c r="F38" s="467"/>
      <c r="G38" s="467"/>
      <c r="H38" s="467"/>
      <c r="I38" s="467"/>
      <c r="J38" s="50"/>
    </row>
    <row r="39" spans="1:10" ht="31.9" customHeight="1">
      <c r="A39" s="964" t="str">
        <f>"Para constancia de lo anterior, se firma en Popayán (Cauca) el día "&amp;IF((TEXT(DATOS!E74,"d"))="1",("Uno"&amp;" ("&amp;TEXT(DATOS!E74,"dd")&amp;") del mes de "&amp;TEXT(DATOS!E74,"mmmm")&amp;" de "&amp;LETRAS(TEXT(DATOS!E74,"YYYY"))&amp;" ("&amp;TEXT(DATOS!E74,"yyyy"))&amp;").",LETRAS(TEXT(DATOS!E74,"d"))&amp;" ("&amp;TEXT(DATOS!E74,"dd")&amp;") del mes de "&amp;TEXT(DATOS!E74,"mmmm")&amp;" de "&amp;LETRAS(TEXT(DATOS!E74,"YYYY"))&amp;" ("&amp;TEXT(DATOS!E74,"yyyy")&amp;").")</f>
        <v>Para constancia de lo anterior, se firma en Popayán (Cauca) el día Treinta (30) del mes de March de Dos Mil Dieciséis (2016).</v>
      </c>
      <c r="B39" s="964"/>
      <c r="C39" s="964"/>
      <c r="D39" s="964"/>
      <c r="E39" s="964"/>
      <c r="F39" s="964"/>
      <c r="G39" s="964"/>
      <c r="H39" s="964"/>
      <c r="I39" s="964"/>
    </row>
    <row r="40" spans="1:10" ht="15">
      <c r="A40" s="961"/>
      <c r="B40" s="961"/>
      <c r="C40" s="961"/>
      <c r="D40" s="961"/>
      <c r="E40" s="961"/>
      <c r="F40" s="961"/>
      <c r="G40" s="961"/>
      <c r="H40" s="961"/>
      <c r="I40" s="961"/>
      <c r="J40" s="50"/>
    </row>
    <row r="41" spans="1:10" ht="15">
      <c r="A41" s="53"/>
      <c r="B41" s="53"/>
      <c r="C41" s="53"/>
      <c r="D41" s="53"/>
      <c r="E41" s="53"/>
      <c r="F41" s="53"/>
      <c r="G41" s="53"/>
      <c r="H41" s="53"/>
      <c r="I41" s="53"/>
    </row>
    <row r="42" spans="1:10" ht="15">
      <c r="A42" s="53"/>
      <c r="B42" s="53"/>
      <c r="C42" s="53"/>
      <c r="D42" s="53"/>
      <c r="E42" s="53"/>
      <c r="F42" s="53"/>
      <c r="G42" s="53"/>
      <c r="H42" s="53"/>
      <c r="I42" s="53"/>
    </row>
    <row r="43" spans="1:10" ht="15">
      <c r="A43" s="53"/>
      <c r="B43" s="53"/>
      <c r="C43" s="53"/>
      <c r="D43" s="53"/>
      <c r="E43" s="53"/>
      <c r="F43" s="53"/>
      <c r="G43" s="53"/>
      <c r="H43" s="53"/>
      <c r="I43" s="53"/>
    </row>
    <row r="44" spans="1:10" ht="15">
      <c r="A44" s="53"/>
      <c r="B44" s="53"/>
      <c r="C44" s="53"/>
      <c r="D44" s="53"/>
      <c r="E44" s="53"/>
      <c r="F44" s="53"/>
      <c r="G44" s="53"/>
      <c r="H44" s="53"/>
      <c r="I44" s="53"/>
    </row>
    <row r="45" spans="1:10" ht="15.75">
      <c r="A45" s="53"/>
      <c r="B45" s="471">
        <f>IF(DATOS!E16="Persona Jurídica",DATOS!G20,DATOS!G16)</f>
        <v>0</v>
      </c>
      <c r="C45" s="53"/>
      <c r="D45" s="53"/>
      <c r="E45" s="53"/>
      <c r="F45" s="471">
        <f>IF(DATOS!E10="CONTRATO DE OBRA",IF(DATOS!E24="Persona Jurídica",DATOS!G28,DATOS!G24),DATOS!G30)</f>
        <v>0</v>
      </c>
      <c r="G45" s="53"/>
      <c r="H45" s="53"/>
      <c r="I45" s="53"/>
    </row>
    <row r="46" spans="1:10" ht="15">
      <c r="A46" s="53"/>
      <c r="B46" s="472" t="str">
        <f>IF(DATOS!E16="Persona Jurídica",DATOS!G16,"Contratista")</f>
        <v>Contratista</v>
      </c>
      <c r="C46" s="53"/>
      <c r="D46" s="53"/>
      <c r="E46" s="53"/>
      <c r="F46" s="472" t="str">
        <f>IF(DATOS!E24="Persona Jurídica",DATOS!G24,"Interventor")</f>
        <v>Interventor</v>
      </c>
      <c r="G46" s="53"/>
      <c r="H46" s="53"/>
      <c r="I46" s="53"/>
    </row>
    <row r="47" spans="1:10" ht="15">
      <c r="A47" s="53"/>
      <c r="B47" s="472" t="str">
        <f>IF(DATOS!E16="Persona jurídica","Contratista"," ")</f>
        <v xml:space="preserve"> </v>
      </c>
      <c r="C47" s="53"/>
      <c r="D47" s="53"/>
      <c r="E47" s="53"/>
      <c r="F47" s="472" t="str">
        <f>IF(DATOS!E24="Persona jurídica","Interventor"," ")</f>
        <v xml:space="preserve"> </v>
      </c>
      <c r="G47" s="53"/>
      <c r="H47" s="53"/>
      <c r="I47" s="53"/>
    </row>
    <row r="48" spans="1:10" ht="15">
      <c r="A48" s="53"/>
      <c r="B48" s="472"/>
      <c r="C48" s="53"/>
      <c r="D48" s="53"/>
      <c r="E48" s="53"/>
      <c r="F48" s="472"/>
      <c r="G48" s="53"/>
      <c r="H48" s="53"/>
      <c r="I48" s="53"/>
    </row>
    <row r="49" spans="1:10" ht="15">
      <c r="A49" s="53"/>
      <c r="B49" s="472"/>
      <c r="C49" s="53"/>
      <c r="D49" s="53"/>
      <c r="E49" s="53"/>
      <c r="F49" s="472"/>
      <c r="G49" s="53"/>
      <c r="H49" s="53"/>
      <c r="I49" s="53"/>
    </row>
    <row r="50" spans="1:10" ht="15">
      <c r="A50" s="53"/>
      <c r="B50" s="885"/>
      <c r="C50" s="53"/>
      <c r="D50" s="53"/>
      <c r="E50" s="53"/>
      <c r="F50" s="885"/>
      <c r="G50" s="53"/>
      <c r="H50" s="53"/>
      <c r="I50" s="53"/>
    </row>
    <row r="51" spans="1:10" ht="15">
      <c r="A51" s="53"/>
      <c r="B51" s="885"/>
      <c r="C51" s="53"/>
      <c r="D51" s="53"/>
      <c r="E51" s="53"/>
      <c r="F51" s="885"/>
      <c r="G51" s="53"/>
      <c r="H51" s="53"/>
      <c r="I51" s="53"/>
    </row>
    <row r="52" spans="1:10" ht="15.75">
      <c r="A52" s="53"/>
      <c r="B52" s="886">
        <f>DATOS!G30</f>
        <v>0</v>
      </c>
      <c r="C52" s="53"/>
      <c r="D52" s="53"/>
      <c r="E52" s="53"/>
      <c r="F52" s="886">
        <f>+DATOS!E42</f>
        <v>0</v>
      </c>
      <c r="G52" s="53"/>
      <c r="H52" s="53"/>
      <c r="I52" s="53"/>
    </row>
    <row r="53" spans="1:10" ht="15">
      <c r="A53" s="53"/>
      <c r="B53" s="885" t="s">
        <v>1143</v>
      </c>
      <c r="C53" s="53"/>
      <c r="D53" s="53"/>
      <c r="E53" s="53"/>
      <c r="F53" s="879" t="s">
        <v>330</v>
      </c>
      <c r="G53" s="53"/>
      <c r="H53" s="53"/>
      <c r="I53" s="53"/>
    </row>
    <row r="54" spans="1:10" ht="15">
      <c r="A54" s="53"/>
      <c r="B54" s="885"/>
      <c r="C54" s="53"/>
      <c r="D54" s="53"/>
      <c r="E54" s="53"/>
      <c r="F54" s="879" t="s">
        <v>270</v>
      </c>
      <c r="G54" s="53"/>
      <c r="H54" s="53"/>
      <c r="I54" s="53"/>
    </row>
    <row r="55" spans="1:10" ht="15">
      <c r="A55" s="53"/>
      <c r="B55" s="885"/>
      <c r="C55" s="53"/>
      <c r="D55" s="53"/>
      <c r="E55" s="53"/>
      <c r="F55" s="885"/>
      <c r="G55" s="53"/>
      <c r="H55" s="53"/>
      <c r="I55" s="53"/>
    </row>
    <row r="56" spans="1:10" ht="15">
      <c r="A56" s="53"/>
      <c r="B56" s="885"/>
      <c r="C56" s="53"/>
      <c r="D56" s="53"/>
      <c r="E56" s="53"/>
      <c r="F56" s="885"/>
      <c r="G56" s="53"/>
      <c r="H56" s="53"/>
      <c r="I56" s="53"/>
    </row>
    <row r="57" spans="1:10" ht="15">
      <c r="A57" s="53"/>
      <c r="B57" s="472"/>
      <c r="C57" s="53"/>
      <c r="D57" s="53"/>
      <c r="E57" s="53"/>
      <c r="F57" s="472"/>
      <c r="G57" s="53"/>
      <c r="H57" s="53"/>
      <c r="I57" s="53"/>
    </row>
    <row r="58" spans="1:10" ht="15">
      <c r="A58" s="53"/>
      <c r="B58" s="472"/>
      <c r="C58" s="53"/>
      <c r="D58" s="53"/>
      <c r="E58" s="53"/>
      <c r="F58" s="472"/>
      <c r="G58" s="53"/>
      <c r="H58" s="53"/>
      <c r="I58" s="53"/>
    </row>
    <row r="59" spans="1:10" ht="15">
      <c r="A59" s="53"/>
      <c r="B59" s="472"/>
      <c r="C59" s="53"/>
      <c r="D59" s="53"/>
      <c r="E59" s="53"/>
      <c r="F59" s="472"/>
      <c r="G59" s="53"/>
      <c r="H59" s="53"/>
      <c r="I59" s="53"/>
    </row>
    <row r="60" spans="1:10" ht="15.75">
      <c r="B60" s="867">
        <f>DATOS!E40</f>
        <v>0</v>
      </c>
      <c r="C60" s="876"/>
      <c r="D60" s="876"/>
      <c r="E60" s="876"/>
      <c r="F60" s="867"/>
      <c r="G60" s="876"/>
      <c r="H60" s="876"/>
      <c r="I60" s="876"/>
    </row>
    <row r="61" spans="1:10" ht="15.6" customHeight="1">
      <c r="B61" s="881" t="s">
        <v>331</v>
      </c>
      <c r="C61" s="881"/>
      <c r="D61" s="881"/>
      <c r="E61" s="881"/>
      <c r="F61" s="879"/>
      <c r="G61" s="881"/>
      <c r="H61" s="881"/>
      <c r="I61" s="881"/>
    </row>
    <row r="62" spans="1:10" ht="15">
      <c r="E62" s="53"/>
      <c r="F62" s="879"/>
      <c r="G62" s="53"/>
      <c r="H62" s="53"/>
      <c r="I62" s="53"/>
    </row>
    <row r="63" spans="1:10" ht="15">
      <c r="E63" s="53"/>
      <c r="F63" s="53"/>
      <c r="G63" s="53"/>
      <c r="H63" s="53"/>
      <c r="I63" s="53"/>
      <c r="J63" s="50"/>
    </row>
  </sheetData>
  <mergeCells count="62">
    <mergeCell ref="A1:A3"/>
    <mergeCell ref="B1:E2"/>
    <mergeCell ref="F1:G1"/>
    <mergeCell ref="H1:I1"/>
    <mergeCell ref="F2:G2"/>
    <mergeCell ref="H2:I2"/>
    <mergeCell ref="B3:E3"/>
    <mergeCell ref="F3:G3"/>
    <mergeCell ref="H3:I3"/>
    <mergeCell ref="A4:I4"/>
    <mergeCell ref="A6:B6"/>
    <mergeCell ref="E6:F6"/>
    <mergeCell ref="G6:H6"/>
    <mergeCell ref="A7:B7"/>
    <mergeCell ref="C7:I7"/>
    <mergeCell ref="A8:B8"/>
    <mergeCell ref="C8:I8"/>
    <mergeCell ref="A9:B9"/>
    <mergeCell ref="C9:I9"/>
    <mergeCell ref="A10:B10"/>
    <mergeCell ref="C10:I10"/>
    <mergeCell ref="A11:B11"/>
    <mergeCell ref="C11:I11"/>
    <mergeCell ref="A12:B12"/>
    <mergeCell ref="C12:I12"/>
    <mergeCell ref="A13:B13"/>
    <mergeCell ref="C13:I13"/>
    <mergeCell ref="A14:B14"/>
    <mergeCell ref="C14:I14"/>
    <mergeCell ref="A15:B15"/>
    <mergeCell ref="C15:I15"/>
    <mergeCell ref="A16:B16"/>
    <mergeCell ref="C16:I16"/>
    <mergeCell ref="A17:B17"/>
    <mergeCell ref="C17:I17"/>
    <mergeCell ref="A18:B18"/>
    <mergeCell ref="C18:I18"/>
    <mergeCell ref="A19:B19"/>
    <mergeCell ref="C19:I19"/>
    <mergeCell ref="A20:B20"/>
    <mergeCell ref="C20:I20"/>
    <mergeCell ref="A21:B21"/>
    <mergeCell ref="C21:I21"/>
    <mergeCell ref="A22:B22"/>
    <mergeCell ref="C22:I22"/>
    <mergeCell ref="A31:I31"/>
    <mergeCell ref="A23:B23"/>
    <mergeCell ref="C23:I23"/>
    <mergeCell ref="A24:B24"/>
    <mergeCell ref="C24:I24"/>
    <mergeCell ref="A25:B25"/>
    <mergeCell ref="C25:I25"/>
    <mergeCell ref="A26:B26"/>
    <mergeCell ref="C26:I26"/>
    <mergeCell ref="A27:B27"/>
    <mergeCell ref="C27:I27"/>
    <mergeCell ref="A29:I29"/>
    <mergeCell ref="A33:I33"/>
    <mergeCell ref="A35:I35"/>
    <mergeCell ref="A37:I37"/>
    <mergeCell ref="A39:I39"/>
    <mergeCell ref="A40:I40"/>
  </mergeCells>
  <conditionalFormatting sqref="C18:I18">
    <cfRule type="expression" dxfId="58" priority="6">
      <formula>$C$18&lt;=0</formula>
    </cfRule>
  </conditionalFormatting>
  <conditionalFormatting sqref="C20:I20">
    <cfRule type="expression" dxfId="57" priority="5">
      <formula>$C$20&lt;=0</formula>
    </cfRule>
  </conditionalFormatting>
  <conditionalFormatting sqref="C23:I23">
    <cfRule type="expression" dxfId="56" priority="4">
      <formula>$C$23&lt;=0</formula>
    </cfRule>
  </conditionalFormatting>
  <conditionalFormatting sqref="C27:I27">
    <cfRule type="expression" dxfId="55" priority="3">
      <formula>$C$27&lt;=0</formula>
    </cfRule>
  </conditionalFormatting>
  <conditionalFormatting sqref="C25:I25">
    <cfRule type="expression" dxfId="54" priority="2">
      <formula>$C$25&lt;=0</formula>
    </cfRule>
  </conditionalFormatting>
  <conditionalFormatting sqref="C19:I19">
    <cfRule type="expression" dxfId="53" priority="1">
      <formula>$C$20&lt;=0</formula>
    </cfRule>
  </conditionalFormatting>
  <printOptions horizontalCentered="1"/>
  <pageMargins left="0.78740157480314965" right="0.39370078740157483" top="0.59055118110236227" bottom="1.3779527559055118" header="0.31496062992125984" footer="0.11811023622047245"/>
  <pageSetup scale="82" orientation="portrait" r:id="rId1"/>
  <headerFooter>
    <oddFooter xml:space="preserve">&amp;L&amp;G&amp;R&amp;"-,Cursiva"&amp;9Página &amp;P de &amp;N
&amp;G&amp;"-,Normal"&amp;11
</oddFoot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dimension ref="A1:L56"/>
  <sheetViews>
    <sheetView zoomScaleNormal="100" zoomScaleSheetLayoutView="90" workbookViewId="0">
      <selection activeCell="A4" sqref="A4:I4"/>
    </sheetView>
  </sheetViews>
  <sheetFormatPr baseColWidth="10" defaultColWidth="11.5703125" defaultRowHeight="14.25"/>
  <cols>
    <col min="1" max="1" width="24.5703125" style="42" customWidth="1"/>
    <col min="2" max="2" width="15.85546875" style="42" customWidth="1"/>
    <col min="3" max="3" width="37.42578125" style="42" customWidth="1"/>
    <col min="4" max="4" width="7.28515625" style="42" customWidth="1"/>
    <col min="5" max="5" width="2.28515625" style="42" customWidth="1"/>
    <col min="6" max="6" width="8.5703125" style="42" customWidth="1"/>
    <col min="7" max="7" width="6.28515625" style="42" customWidth="1"/>
    <col min="8" max="8" width="4.28515625" style="42" customWidth="1"/>
    <col min="9" max="9" width="11.7109375" style="42" customWidth="1"/>
    <col min="10" max="10" width="11.5703125" style="42" customWidth="1"/>
    <col min="11" max="11" width="0" style="42" hidden="1" customWidth="1"/>
    <col min="12" max="16384" width="11.5703125" style="42"/>
  </cols>
  <sheetData>
    <row r="1" spans="1:12" ht="24.6" customHeight="1">
      <c r="A1" s="972"/>
      <c r="B1" s="973" t="s">
        <v>295</v>
      </c>
      <c r="C1" s="973"/>
      <c r="D1" s="973"/>
      <c r="E1" s="973"/>
      <c r="F1" s="975" t="s">
        <v>90</v>
      </c>
      <c r="G1" s="975"/>
      <c r="H1" s="970" t="s">
        <v>386</v>
      </c>
      <c r="I1" s="970"/>
      <c r="J1" s="41"/>
    </row>
    <row r="2" spans="1:12" ht="24.6" customHeight="1">
      <c r="A2" s="972"/>
      <c r="B2" s="973"/>
      <c r="C2" s="973"/>
      <c r="D2" s="973"/>
      <c r="E2" s="973"/>
      <c r="F2" s="975" t="s">
        <v>89</v>
      </c>
      <c r="G2" s="975"/>
      <c r="H2" s="970" t="s">
        <v>248</v>
      </c>
      <c r="I2" s="970"/>
      <c r="J2" s="41"/>
    </row>
    <row r="3" spans="1:12" ht="24.6" customHeight="1">
      <c r="A3" s="972"/>
      <c r="B3" s="970" t="s">
        <v>93</v>
      </c>
      <c r="C3" s="970"/>
      <c r="D3" s="970"/>
      <c r="E3" s="970"/>
      <c r="F3" s="1160" t="s">
        <v>88</v>
      </c>
      <c r="G3" s="1161"/>
      <c r="H3" s="971">
        <v>42646</v>
      </c>
      <c r="I3" s="970"/>
      <c r="J3" s="41"/>
    </row>
    <row r="4" spans="1:12" ht="34.9" customHeight="1">
      <c r="A4" s="1019" t="s">
        <v>292</v>
      </c>
      <c r="B4" s="1162"/>
      <c r="C4" s="1162"/>
      <c r="D4" s="1162"/>
      <c r="E4" s="1162"/>
      <c r="F4" s="1162"/>
      <c r="G4" s="1162"/>
      <c r="H4" s="1162"/>
      <c r="I4" s="1162"/>
      <c r="J4" s="41"/>
    </row>
    <row r="5" spans="1:12" ht="3" customHeight="1">
      <c r="A5" s="469"/>
      <c r="B5" s="138"/>
      <c r="C5" s="138"/>
      <c r="D5" s="138"/>
      <c r="E5" s="138"/>
      <c r="F5" s="138"/>
      <c r="G5" s="138"/>
      <c r="H5" s="138"/>
      <c r="I5" s="138"/>
      <c r="J5" s="41"/>
    </row>
    <row r="6" spans="1:12" ht="19.149999999999999" customHeight="1">
      <c r="A6" s="962" t="s">
        <v>1</v>
      </c>
      <c r="B6" s="962"/>
      <c r="C6" s="51">
        <f>DATOS!$E$10</f>
        <v>0</v>
      </c>
      <c r="D6" s="181" t="s">
        <v>92</v>
      </c>
      <c r="E6" s="974">
        <f>DATOS!E12</f>
        <v>0</v>
      </c>
      <c r="F6" s="974"/>
      <c r="G6" s="962" t="s">
        <v>86</v>
      </c>
      <c r="H6" s="962"/>
      <c r="I6" s="468">
        <f>DATOS!I12</f>
        <v>0</v>
      </c>
      <c r="J6" s="41"/>
    </row>
    <row r="7" spans="1:12" ht="19.149999999999999" customHeight="1">
      <c r="A7" s="962" t="s">
        <v>94</v>
      </c>
      <c r="B7" s="962"/>
      <c r="C7" s="963" t="s">
        <v>101</v>
      </c>
      <c r="D7" s="963"/>
      <c r="E7" s="963"/>
      <c r="F7" s="963"/>
      <c r="G7" s="963"/>
      <c r="H7" s="963"/>
      <c r="I7" s="963"/>
      <c r="J7" s="41"/>
    </row>
    <row r="8" spans="1:12" ht="19.149999999999999" customHeight="1">
      <c r="A8" s="962" t="s">
        <v>95</v>
      </c>
      <c r="B8" s="962"/>
      <c r="C8" s="963" t="s">
        <v>102</v>
      </c>
      <c r="D8" s="963"/>
      <c r="E8" s="963"/>
      <c r="F8" s="963"/>
      <c r="G8" s="963"/>
      <c r="H8" s="963"/>
      <c r="I8" s="963"/>
      <c r="J8" s="41"/>
    </row>
    <row r="9" spans="1:12" ht="19.149999999999999" customHeight="1">
      <c r="A9" s="962" t="str">
        <f>IF('REINIC 8'!C6="CONTRATO DE OBRA",("INTERVENTOR"),("SUPERVISOR"))</f>
        <v>SUPERVISOR</v>
      </c>
      <c r="B9" s="962"/>
      <c r="C9" s="963">
        <f>LOOKUP(A9,DATOS!C24:C30,DATOS!G24:G30)</f>
        <v>0</v>
      </c>
      <c r="D9" s="963"/>
      <c r="E9" s="963"/>
      <c r="F9" s="963"/>
      <c r="G9" s="963"/>
      <c r="H9" s="963"/>
      <c r="I9" s="963"/>
      <c r="K9" s="394" t="str">
        <f>LOOKUP(A9,DATOS!C24:C30,DATOS!M24:M30)</f>
        <v>la</v>
      </c>
    </row>
    <row r="10" spans="1:12" ht="19.149999999999999" customHeight="1">
      <c r="A10" s="962" t="s">
        <v>95</v>
      </c>
      <c r="B10" s="962"/>
      <c r="C10" s="963">
        <f>IF(A9=DATOS!C24,DATOS!E26,DATOS!E32)</f>
        <v>0</v>
      </c>
      <c r="D10" s="963"/>
      <c r="E10" s="963"/>
      <c r="F10" s="963"/>
      <c r="G10" s="963"/>
      <c r="H10" s="963"/>
      <c r="I10" s="963"/>
      <c r="K10" s="394"/>
    </row>
    <row r="11" spans="1:12" ht="19.149999999999999" customHeight="1">
      <c r="A11" s="962" t="s">
        <v>5</v>
      </c>
      <c r="B11" s="962"/>
      <c r="C11" s="963" t="str">
        <f>IF(DATOS!G28&gt;0,DATOS!G28,"N/A")</f>
        <v>N/A</v>
      </c>
      <c r="D11" s="963"/>
      <c r="E11" s="963"/>
      <c r="F11" s="963"/>
      <c r="G11" s="963"/>
      <c r="H11" s="963"/>
      <c r="I11" s="963"/>
      <c r="K11" s="394"/>
    </row>
    <row r="12" spans="1:12" ht="19.149999999999999" customHeight="1">
      <c r="A12" s="962" t="s">
        <v>107</v>
      </c>
      <c r="B12" s="962"/>
      <c r="C12" s="963">
        <f>DATOS!G16</f>
        <v>0</v>
      </c>
      <c r="D12" s="963"/>
      <c r="E12" s="963"/>
      <c r="F12" s="963"/>
      <c r="G12" s="963"/>
      <c r="H12" s="963"/>
      <c r="I12" s="963"/>
      <c r="K12" s="394" t="str">
        <f>DATOS!M16</f>
        <v>la</v>
      </c>
    </row>
    <row r="13" spans="1:12" ht="19.149999999999999" customHeight="1">
      <c r="A13" s="962" t="s">
        <v>95</v>
      </c>
      <c r="B13" s="962"/>
      <c r="C13" s="1163">
        <f>DATOS!E18</f>
        <v>0</v>
      </c>
      <c r="D13" s="963"/>
      <c r="E13" s="963"/>
      <c r="F13" s="963"/>
      <c r="G13" s="963"/>
      <c r="H13" s="963"/>
      <c r="I13" s="963"/>
      <c r="K13" s="394"/>
    </row>
    <row r="14" spans="1:12" ht="19.149999999999999" customHeight="1">
      <c r="A14" s="962" t="s">
        <v>5</v>
      </c>
      <c r="B14" s="962"/>
      <c r="C14" s="963" t="str">
        <f>IF(DATOS!G20&gt;0,DATOS!G20,"N/A")</f>
        <v>N/A</v>
      </c>
      <c r="D14" s="963"/>
      <c r="E14" s="963"/>
      <c r="F14" s="963"/>
      <c r="G14" s="963"/>
      <c r="H14" s="963"/>
      <c r="I14" s="963"/>
      <c r="K14" s="394" t="str">
        <f>DATOS!M20</f>
        <v>la</v>
      </c>
    </row>
    <row r="15" spans="1:12" ht="66.599999999999994" customHeight="1">
      <c r="A15" s="962" t="s">
        <v>8</v>
      </c>
      <c r="B15" s="962"/>
      <c r="C15" s="968">
        <f>DATOS!E38</f>
        <v>0</v>
      </c>
      <c r="D15" s="968"/>
      <c r="E15" s="968"/>
      <c r="F15" s="968"/>
      <c r="G15" s="968"/>
      <c r="H15" s="968"/>
      <c r="I15" s="968"/>
    </row>
    <row r="16" spans="1:12" ht="19.149999999999999" customHeight="1">
      <c r="A16" s="962" t="s">
        <v>12</v>
      </c>
      <c r="B16" s="962"/>
      <c r="C16" s="969">
        <f>DATOS!E46</f>
        <v>0</v>
      </c>
      <c r="D16" s="969"/>
      <c r="E16" s="969"/>
      <c r="F16" s="969"/>
      <c r="G16" s="969"/>
      <c r="H16" s="969"/>
      <c r="I16" s="969"/>
      <c r="L16" s="403" t="s">
        <v>394</v>
      </c>
    </row>
    <row r="17" spans="1:10" ht="19.149999999999999" customHeight="1">
      <c r="A17" s="1167" t="s">
        <v>391</v>
      </c>
      <c r="B17" s="1168"/>
      <c r="C17" s="1169">
        <f>IF(C18="","",DATOS!E174)</f>
        <v>42602</v>
      </c>
      <c r="D17" s="1170"/>
      <c r="E17" s="1170"/>
      <c r="F17" s="1170"/>
      <c r="G17" s="1170"/>
      <c r="H17" s="1170"/>
      <c r="I17" s="1171"/>
    </row>
    <row r="18" spans="1:10" ht="19.149999999999999" customHeight="1">
      <c r="A18" s="962" t="s">
        <v>278</v>
      </c>
      <c r="B18" s="962"/>
      <c r="C18" s="1172">
        <f>DATOS!E60</f>
        <v>30000000</v>
      </c>
      <c r="D18" s="1173"/>
      <c r="E18" s="1173"/>
      <c r="F18" s="1173"/>
      <c r="G18" s="1173"/>
      <c r="H18" s="1173"/>
      <c r="I18" s="1174"/>
    </row>
    <row r="19" spans="1:10" ht="19.149999999999999" customHeight="1">
      <c r="A19" s="1167" t="s">
        <v>392</v>
      </c>
      <c r="B19" s="1168"/>
      <c r="C19" s="1172">
        <f>IF(C20="","",DATOS!E176)</f>
        <v>0</v>
      </c>
      <c r="D19" s="1173"/>
      <c r="E19" s="1173"/>
      <c r="F19" s="1173"/>
      <c r="G19" s="1173"/>
      <c r="H19" s="1173"/>
      <c r="I19" s="1174"/>
    </row>
    <row r="20" spans="1:10" ht="19.149999999999999" customHeight="1">
      <c r="A20" s="962" t="s">
        <v>279</v>
      </c>
      <c r="B20" s="962"/>
      <c r="C20" s="1172">
        <f>DATOS!E62</f>
        <v>0</v>
      </c>
      <c r="D20" s="1173"/>
      <c r="E20" s="1173"/>
      <c r="F20" s="1173"/>
      <c r="G20" s="1173"/>
      <c r="H20" s="1173"/>
      <c r="I20" s="1174"/>
    </row>
    <row r="21" spans="1:10" ht="19.149999999999999" customHeight="1">
      <c r="A21" s="962" t="s">
        <v>11</v>
      </c>
      <c r="B21" s="962"/>
      <c r="C21" s="1175" t="str">
        <f>CONCATENATE(DATOS!E44,DATOS!F44,DATOS!G44)</f>
        <v xml:space="preserve"> </v>
      </c>
      <c r="D21" s="1176"/>
      <c r="E21" s="1176"/>
      <c r="F21" s="1176"/>
      <c r="G21" s="1176"/>
      <c r="H21" s="1176"/>
      <c r="I21" s="1177"/>
    </row>
    <row r="22" spans="1:10" ht="19.149999999999999" customHeight="1">
      <c r="A22" s="962" t="s">
        <v>388</v>
      </c>
      <c r="B22" s="962"/>
      <c r="C22" s="1169">
        <f>IF(C23="","",DATOS!E174)</f>
        <v>42602</v>
      </c>
      <c r="D22" s="1170"/>
      <c r="E22" s="1170"/>
      <c r="F22" s="1170"/>
      <c r="G22" s="1170"/>
      <c r="H22" s="1170"/>
      <c r="I22" s="1171"/>
    </row>
    <row r="23" spans="1:10" ht="19.149999999999999" customHeight="1">
      <c r="A23" s="962" t="s">
        <v>280</v>
      </c>
      <c r="B23" s="962"/>
      <c r="C23" s="1175" t="str">
        <f>IF(DATOS!E64&gt;0,CONCATENATE(DATOS!E64,DATOS!F64,DATOS!G64),0)</f>
        <v>5 MESES</v>
      </c>
      <c r="D23" s="1176"/>
      <c r="E23" s="1176"/>
      <c r="F23" s="1176"/>
      <c r="G23" s="1176"/>
      <c r="H23" s="1176"/>
      <c r="I23" s="1177"/>
    </row>
    <row r="24" spans="1:10" ht="19.149999999999999" customHeight="1">
      <c r="A24" s="1167" t="s">
        <v>389</v>
      </c>
      <c r="B24" s="1168"/>
      <c r="C24" s="1169">
        <f>IF(C20="","",DATOS!E176)</f>
        <v>0</v>
      </c>
      <c r="D24" s="1170"/>
      <c r="E24" s="1170"/>
      <c r="F24" s="1170"/>
      <c r="G24" s="1170"/>
      <c r="H24" s="1170"/>
      <c r="I24" s="1171"/>
    </row>
    <row r="25" spans="1:10" ht="19.149999999999999" customHeight="1">
      <c r="A25" s="962" t="s">
        <v>281</v>
      </c>
      <c r="B25" s="962"/>
      <c r="C25" s="1175">
        <f>IF(DATOS!E66&gt;0,CONCATENATE(DATOS!E66,DATOS!F66,DATOS!G66),0)</f>
        <v>0</v>
      </c>
      <c r="D25" s="1176"/>
      <c r="E25" s="1176"/>
      <c r="F25" s="1176"/>
      <c r="G25" s="1176"/>
      <c r="H25" s="1176"/>
      <c r="I25" s="1177"/>
    </row>
    <row r="26" spans="1:10" ht="19.149999999999999" customHeight="1">
      <c r="A26" s="1167" t="s">
        <v>390</v>
      </c>
      <c r="B26" s="1168"/>
      <c r="C26" s="1169">
        <f>IF(C27="","",DATOS!E178)</f>
        <v>0</v>
      </c>
      <c r="D26" s="1170"/>
      <c r="E26" s="1170"/>
      <c r="F26" s="1170"/>
      <c r="G26" s="1170"/>
      <c r="H26" s="1170"/>
      <c r="I26" s="1171"/>
    </row>
    <row r="27" spans="1:10" ht="19.149999999999999" customHeight="1">
      <c r="A27" s="962" t="s">
        <v>282</v>
      </c>
      <c r="B27" s="962"/>
      <c r="C27" s="1175">
        <f>IF(DATOS!E68&gt;0,CONCATENATE(DATOS!E68,DATOS!F68,DATOS!G68),0)</f>
        <v>0</v>
      </c>
      <c r="D27" s="1176"/>
      <c r="E27" s="1176"/>
      <c r="F27" s="1176"/>
      <c r="G27" s="1176"/>
      <c r="H27" s="1176"/>
      <c r="I27" s="1177"/>
    </row>
    <row r="28" spans="1:10" ht="27.6" customHeight="1">
      <c r="A28" s="53"/>
      <c r="B28" s="53"/>
      <c r="C28" s="53"/>
      <c r="D28" s="53"/>
      <c r="E28" s="53"/>
      <c r="F28" s="53"/>
      <c r="G28" s="53"/>
      <c r="H28" s="53"/>
      <c r="I28" s="53"/>
    </row>
    <row r="29" spans="1:10" ht="75" customHeight="1">
      <c r="A29" s="961" t="str">
        <f>IF(DATOS!E16="Persona Jurídica",IF(DATOS!E24="Persona Jurídica","En Popayán el día "&amp;IF((TEXT(DATOS!E74,"d"))="1",("Uno" &amp;" ("&amp;TEXT(DATOS!E74,"dd")&amp;") del mes de "&amp;TEXT(DATOS!E74,"mmmm")&amp;" de "&amp;TEXT(DATOS!E74,"yyyy")&amp;",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el reinicio del contrato en referencia."),LETRAS(TEXT(DATOS!E74,"d"))&amp;" ("&amp;TEXT(DATOS!E74,"dd")&amp;") del mes de "&amp;TEXT(DATOS!E74,"mmmm")&amp;" de "&amp;TEXT(DATOS!E74,"yyyy")&amp;",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el reinicio del contrato en referencia."),"En Popayán el día "&amp;IF((TEXT(DATOS!E74,"d"))="1",("Uno" &amp;" ("&amp;TEXT(DATOS!E74,"dd")&amp;") del mes de "&amp;TEXT(DATOS!E74,"mmmm")&amp;" de "&amp;TEXT(DATOS!E74,"yyyy")&amp;", se reunieron "&amp;DATOS!E40&amp;" en calidad de Gerente de Emcaservicios S.A. E.S.P.,"&amp;K9&amp;" "&amp;DATOS!E24&amp;" "&amp;C9&amp;", en calidad de "&amp;A9&amp;" del "&amp;DATOS!E10&amp;" No. "&amp;DATOS!E12&amp;" "&amp;DATOS!G12&amp;" "&amp;DATOS!I12&amp;", por una parte, y por la otra "&amp;K14&amp;" "&amp;DATOS!E20&amp;" "&amp;C14&amp;" Representante legal de "&amp;C12&amp;" en calidad de "&amp;A12&amp;", para acordar el reinicio del contrato en referencia."),LETRAS(TEXT(DATOS!E74,"d"))&amp;" ("&amp;TEXT(DATOS!E74,"dd")&amp;") del mes de "&amp;TEXT(DATOS!E74,"mmmm")&amp;" de "&amp;TEXT(DATOS!E74,"yyyy")&amp;", se reunieron "&amp;DATOS!E40&amp;" en calidad de Gerente de Emcaservicios S.A. E.S.P.,"&amp;K9&amp;" "&amp;DATOS!E24&amp;" "&amp;C9&amp;", en calidad de "&amp;A9&amp;" del "&amp;DATOS!E10&amp;" No. "&amp;DATOS!E12&amp;" "&amp;DATOS!G12&amp;" "&amp;DATOS!I12&amp;", por una parte, y por la otra "&amp;K14&amp;" "&amp;DATOS!E20&amp;" "&amp;C14&amp;" Representante legal de "&amp;C12&amp;" en calidad de "&amp;A12&amp;", para acordar el reinicio del contrato en referencia.")),IF(DATOS!E24="Persona Jurídica","En Popayán el día "&amp;IF((TEXT(DATOS!E74,"d"))="1",("Uno" &amp;" ("&amp;TEXT(DATOS!E74,"dd")&amp;") del mes de "&amp;TEXT(DATOS!E74,"mmmm")&amp;" de "&amp;TEXT(DATOS!E74,"yyyy")&amp;",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"&amp;K12&amp;" "&amp;DATOS!E16&amp;" "&amp;C12&amp;" en calidad de "&amp;A12&amp;", para acordar el reinicio del contrato en referencia."),LETRAS(TEXT(DATOS!E74,"d"))&amp;" ("&amp;TEXT(DATOS!E74,"dd")&amp;") del mes de "&amp;TEXT(DATOS!E74,"mmmm")&amp;" de "&amp;TEXT(DATOS!E74,"yyyy")&amp;",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"&amp;K12&amp;" "&amp;DATOS!E16&amp;" "&amp;C12&amp;" en calidad de "&amp;A12&amp;", para acordar el reinicio del contrato en referencia."),"En Popayán el día "&amp;IF((TEXT(DATOS!E74,"d"))="1",("Uno" &amp;" ("&amp;TEXT(DATOS!E74,"dd")&amp;") del mes de "&amp;TEXT(DATOS!E74,"mmmm")&amp;" de "&amp;TEXT(DATOS!E74,"yyyy")&amp;", se reunieron "&amp;DATOS!E40&amp;" en calidad de Gerente de Emcaservicios S.A. E.S.P.,"&amp;K9&amp;" "&amp;DATOS!E24&amp;" "&amp;C9&amp;", en calidad de "&amp;A9&amp;" del "&amp;DATOS!E10&amp;" No. "&amp;DATOS!E12&amp;" "&amp;DATOS!G12&amp;" "&amp;DATOS!I12&amp;", por una parte, y por la otra "&amp;K12&amp;" "&amp;DATOS!E16&amp;" "&amp;C12&amp;" en calidad de "&amp;A12&amp;", para acordar el reinicio del contrato en referencia."),LETRAS(TEXT(DATOS!E74,"d"))&amp;" ("&amp;TEXT(DATOS!E74,"dd")&amp;") del mes de "&amp;TEXT(DATOS!E74,"mmmm")&amp;" de "&amp;TEXT(DATOS!E74,"yyyy")&amp;", se reunieron "&amp;DATOS!E40&amp;" en calidad de Gerente de Emcaservicios S.A. E.S.P.,"&amp;K9&amp;" "&amp;DATOS!E24&amp;" "&amp;C9&amp;", en calidad de "&amp;A9&amp;" del "&amp;DATOS!E10&amp;" No. "&amp;DATOS!E12&amp;" "&amp;DATOS!G12&amp;" "&amp;DATOS!I12&amp;", por una parte, y por la otra "&amp;K12&amp;" "&amp;DATOS!E16&amp;" "&amp;C12&amp;" en calidad de "&amp;A12&amp;", para acordar el reinicio del contrato en referencia.")))</f>
        <v>En Popayán el día Treinta (30) del mes de March de 2016, se reunieron  en calidad de Gerente de Emcaservicios S.A. E.S.P.,la  0, en calidad de SUPERVISOR del  No.   , por una parte, y por la otra la  0 en calidad de CONTRATISTA, para acordar el reinicio del contrato en referencia.</v>
      </c>
      <c r="B29" s="961"/>
      <c r="C29" s="961"/>
      <c r="D29" s="961"/>
      <c r="E29" s="961"/>
      <c r="F29" s="961"/>
      <c r="G29" s="961"/>
      <c r="H29" s="961"/>
      <c r="I29" s="961"/>
      <c r="J29" s="50"/>
    </row>
    <row r="30" spans="1:10" ht="15">
      <c r="A30" s="467"/>
      <c r="B30" s="467"/>
      <c r="C30" s="467"/>
      <c r="D30" s="467"/>
      <c r="E30" s="467"/>
      <c r="F30" s="467"/>
      <c r="G30" s="467"/>
      <c r="H30" s="467"/>
      <c r="I30" s="467"/>
      <c r="J30" s="50"/>
    </row>
    <row r="31" spans="1:10" ht="15">
      <c r="A31" s="961" t="s">
        <v>336</v>
      </c>
      <c r="B31" s="961"/>
      <c r="C31" s="961"/>
      <c r="D31" s="961"/>
      <c r="E31" s="961"/>
      <c r="F31" s="961"/>
      <c r="G31" s="961"/>
      <c r="H31" s="961"/>
      <c r="I31" s="961"/>
      <c r="J31" s="50"/>
    </row>
    <row r="32" spans="1:10" ht="15">
      <c r="A32" s="467"/>
      <c r="B32" s="467"/>
      <c r="C32" s="467"/>
      <c r="D32" s="467"/>
      <c r="E32" s="467"/>
      <c r="F32" s="467"/>
      <c r="G32" s="467"/>
      <c r="H32" s="467"/>
      <c r="I32" s="467"/>
      <c r="J32" s="50"/>
    </row>
    <row r="33" spans="1:10" ht="27" customHeight="1">
      <c r="A33" s="1166" t="s">
        <v>335</v>
      </c>
      <c r="B33" s="961"/>
      <c r="C33" s="961"/>
      <c r="D33" s="961"/>
      <c r="E33" s="961"/>
      <c r="F33" s="961"/>
      <c r="G33" s="961"/>
      <c r="H33" s="961"/>
      <c r="I33" s="961"/>
      <c r="J33" s="50"/>
    </row>
    <row r="34" spans="1:10" ht="15">
      <c r="A34" s="467"/>
      <c r="B34" s="467"/>
      <c r="C34" s="467"/>
      <c r="D34" s="467"/>
      <c r="E34" s="467"/>
      <c r="F34" s="467"/>
      <c r="G34" s="467"/>
      <c r="H34" s="467"/>
      <c r="I34" s="467"/>
      <c r="J34" s="50"/>
    </row>
    <row r="35" spans="1:10" ht="15.75">
      <c r="A35" s="1165" t="s">
        <v>283</v>
      </c>
      <c r="B35" s="1165"/>
      <c r="C35" s="1165"/>
      <c r="D35" s="1165"/>
      <c r="E35" s="1165"/>
      <c r="F35" s="1165"/>
      <c r="G35" s="1165"/>
      <c r="H35" s="1165"/>
      <c r="I35" s="1165"/>
      <c r="J35" s="50"/>
    </row>
    <row r="36" spans="1:10" ht="15">
      <c r="A36" s="467"/>
      <c r="B36" s="467"/>
      <c r="C36" s="467"/>
      <c r="D36" s="467"/>
      <c r="E36" s="467"/>
      <c r="F36" s="467"/>
      <c r="G36" s="467"/>
      <c r="H36" s="467"/>
      <c r="I36" s="467"/>
      <c r="J36" s="50"/>
    </row>
    <row r="37" spans="1:10" ht="48.6" customHeight="1">
      <c r="A37" s="1178" t="s">
        <v>387</v>
      </c>
      <c r="B37" s="1178"/>
      <c r="C37" s="1178"/>
      <c r="D37" s="1178"/>
      <c r="E37" s="1178"/>
      <c r="F37" s="1178"/>
      <c r="G37" s="1178"/>
      <c r="H37" s="1178"/>
      <c r="I37" s="1178"/>
      <c r="J37" s="50"/>
    </row>
    <row r="38" spans="1:10" ht="15">
      <c r="A38" s="467"/>
      <c r="B38" s="467"/>
      <c r="C38" s="467"/>
      <c r="D38" s="467"/>
      <c r="E38" s="467"/>
      <c r="F38" s="467"/>
      <c r="G38" s="467"/>
      <c r="H38" s="467"/>
      <c r="I38" s="467"/>
      <c r="J38" s="50"/>
    </row>
    <row r="39" spans="1:10" ht="31.9" customHeight="1">
      <c r="A39" s="964" t="str">
        <f>"Para constancia de lo anterior, se firma en Popayán (Cauca) el día "&amp;IF((TEXT(DATOS!E74,"d"))="1",("Uno"&amp;" ("&amp;TEXT(DATOS!E74,"dd")&amp;") del mes de "&amp;TEXT(DATOS!E74,"mmmm")&amp;" de "&amp;LETRAS(TEXT(DATOS!E74,"YYYY"))&amp;" ("&amp;TEXT(DATOS!E74,"yyyy"))&amp;").",LETRAS(TEXT(DATOS!E74,"d"))&amp;" ("&amp;TEXT(DATOS!E74,"dd")&amp;") del mes de "&amp;TEXT(DATOS!E74,"mmmm")&amp;" de "&amp;LETRAS(TEXT(DATOS!E74,"YYYY"))&amp;" ("&amp;TEXT(DATOS!E74,"yyyy")&amp;").")</f>
        <v>Para constancia de lo anterior, se firma en Popayán (Cauca) el día Treinta (30) del mes de March de Dos Mil Dieciséis (2016).</v>
      </c>
      <c r="B39" s="964"/>
      <c r="C39" s="964"/>
      <c r="D39" s="964"/>
      <c r="E39" s="964"/>
      <c r="F39" s="964"/>
      <c r="G39" s="964"/>
      <c r="H39" s="964"/>
      <c r="I39" s="964"/>
    </row>
    <row r="40" spans="1:10" ht="15">
      <c r="A40" s="961"/>
      <c r="B40" s="961"/>
      <c r="C40" s="961"/>
      <c r="D40" s="961"/>
      <c r="E40" s="961"/>
      <c r="F40" s="961"/>
      <c r="G40" s="961"/>
      <c r="H40" s="961"/>
      <c r="I40" s="961"/>
      <c r="J40" s="50"/>
    </row>
    <row r="41" spans="1:10" ht="15">
      <c r="A41" s="53"/>
      <c r="B41" s="53"/>
      <c r="C41" s="53"/>
      <c r="D41" s="53"/>
      <c r="E41" s="53"/>
      <c r="F41" s="53"/>
      <c r="G41" s="53"/>
      <c r="H41" s="53"/>
      <c r="I41" s="53"/>
    </row>
    <row r="42" spans="1:10" ht="15">
      <c r="A42" s="53"/>
      <c r="B42" s="53"/>
      <c r="C42" s="53"/>
      <c r="D42" s="53"/>
      <c r="E42" s="53"/>
      <c r="F42" s="53"/>
      <c r="G42" s="53"/>
      <c r="H42" s="53"/>
      <c r="I42" s="53"/>
    </row>
    <row r="43" spans="1:10" ht="15">
      <c r="A43" s="53"/>
      <c r="B43" s="53"/>
      <c r="C43" s="53"/>
      <c r="D43" s="53"/>
      <c r="E43" s="53"/>
      <c r="F43" s="53"/>
      <c r="G43" s="53"/>
      <c r="H43" s="53"/>
      <c r="I43" s="53"/>
    </row>
    <row r="44" spans="1:10" ht="15">
      <c r="A44" s="53"/>
      <c r="B44" s="53"/>
      <c r="C44" s="53"/>
      <c r="D44" s="53"/>
      <c r="E44" s="53"/>
      <c r="F44" s="53"/>
      <c r="G44" s="53"/>
      <c r="H44" s="53"/>
      <c r="I44" s="53"/>
    </row>
    <row r="45" spans="1:10" ht="15.75">
      <c r="A45" s="53"/>
      <c r="B45" s="471">
        <f>IF(DATOS!E16="Persona Jurídica",DATOS!G20,DATOS!G16)</f>
        <v>0</v>
      </c>
      <c r="C45" s="53"/>
      <c r="D45" s="53"/>
      <c r="E45" s="53"/>
      <c r="F45" s="471">
        <f>IF(DATOS!E10="CONTRATO DE OBRA",IF(DATOS!E24="Persona Jurídica",DATOS!G28,DATOS!G24),DATOS!G30)</f>
        <v>0</v>
      </c>
      <c r="G45" s="53"/>
      <c r="H45" s="53"/>
      <c r="I45" s="53"/>
    </row>
    <row r="46" spans="1:10" ht="15">
      <c r="A46" s="53"/>
      <c r="B46" s="472" t="str">
        <f>IF(DATOS!E16="Persona Jurídica",DATOS!G16,"Contratista")</f>
        <v>Contratista</v>
      </c>
      <c r="C46" s="53"/>
      <c r="D46" s="53"/>
      <c r="E46" s="53"/>
      <c r="F46" s="472" t="str">
        <f>IF(DATOS!E24="Persona Jurídica",DATOS!G24,"Interventor")</f>
        <v>Interventor</v>
      </c>
      <c r="G46" s="53"/>
      <c r="H46" s="53"/>
      <c r="I46" s="53"/>
    </row>
    <row r="47" spans="1:10" ht="15">
      <c r="A47" s="53"/>
      <c r="B47" s="472" t="str">
        <f>IF(DATOS!E16="Persona jurídica","Contratista"," ")</f>
        <v xml:space="preserve"> </v>
      </c>
      <c r="C47" s="53"/>
      <c r="D47" s="53"/>
      <c r="E47" s="53"/>
      <c r="F47" s="472" t="str">
        <f>IF(DATOS!E24="Persona jurídica","Interventor"," ")</f>
        <v xml:space="preserve"> </v>
      </c>
      <c r="G47" s="53"/>
      <c r="H47" s="53"/>
      <c r="I47" s="53"/>
    </row>
    <row r="48" spans="1:10" ht="15">
      <c r="A48" s="53"/>
      <c r="B48" s="472"/>
      <c r="C48" s="53"/>
      <c r="D48" s="53"/>
      <c r="E48" s="53"/>
      <c r="F48" s="472"/>
      <c r="G48" s="53"/>
      <c r="H48" s="53"/>
      <c r="I48" s="53"/>
    </row>
    <row r="49" spans="1:10" ht="15">
      <c r="A49" s="53"/>
      <c r="B49" s="472"/>
      <c r="C49" s="53"/>
      <c r="D49" s="53"/>
      <c r="E49" s="53"/>
      <c r="F49" s="472"/>
      <c r="G49" s="53"/>
      <c r="H49" s="53"/>
      <c r="I49" s="53"/>
    </row>
    <row r="50" spans="1:10" ht="15">
      <c r="A50" s="53"/>
      <c r="B50" s="472"/>
      <c r="C50" s="53"/>
      <c r="D50" s="53"/>
      <c r="E50" s="53"/>
      <c r="F50" s="472"/>
      <c r="G50" s="53"/>
      <c r="H50" s="53"/>
      <c r="I50" s="53"/>
    </row>
    <row r="51" spans="1:10" ht="15">
      <c r="A51" s="53"/>
      <c r="B51" s="472"/>
      <c r="C51" s="53"/>
      <c r="D51" s="53"/>
      <c r="E51" s="53"/>
      <c r="F51" s="472"/>
      <c r="G51" s="53"/>
      <c r="H51" s="53"/>
      <c r="I51" s="53"/>
    </row>
    <row r="52" spans="1:10" ht="15">
      <c r="A52" s="53"/>
      <c r="B52" s="472"/>
      <c r="C52" s="53"/>
      <c r="D52" s="53"/>
      <c r="E52" s="53"/>
      <c r="F52" s="472"/>
      <c r="G52" s="53"/>
      <c r="H52" s="53"/>
      <c r="I52" s="53"/>
    </row>
    <row r="53" spans="1:10" ht="15.75">
      <c r="A53" s="1273">
        <f>DATOS!E40</f>
        <v>0</v>
      </c>
      <c r="B53" s="1273"/>
      <c r="C53" s="1273"/>
      <c r="D53" s="1273"/>
      <c r="E53" s="1273"/>
      <c r="F53" s="1273"/>
      <c r="G53" s="1273"/>
      <c r="H53" s="1273"/>
      <c r="I53" s="1273"/>
    </row>
    <row r="54" spans="1:10" ht="15.6" customHeight="1">
      <c r="A54" s="1272" t="s">
        <v>331</v>
      </c>
      <c r="B54" s="1272"/>
      <c r="C54" s="1272"/>
      <c r="D54" s="1272"/>
      <c r="E54" s="1272"/>
      <c r="F54" s="1272"/>
      <c r="G54" s="1272"/>
      <c r="H54" s="1272"/>
      <c r="I54" s="1272"/>
    </row>
    <row r="55" spans="1:10" ht="15">
      <c r="A55" s="53"/>
      <c r="B55" s="472"/>
      <c r="C55" s="53"/>
      <c r="D55" s="53"/>
      <c r="E55" s="53"/>
      <c r="F55" s="472"/>
      <c r="G55" s="53"/>
      <c r="H55" s="53"/>
      <c r="I55" s="53"/>
    </row>
    <row r="56" spans="1:10" ht="15">
      <c r="A56" s="53"/>
      <c r="B56" s="53"/>
      <c r="C56" s="53"/>
      <c r="D56" s="53"/>
      <c r="E56" s="53"/>
      <c r="F56" s="53"/>
      <c r="G56" s="53"/>
      <c r="H56" s="53"/>
      <c r="I56" s="53"/>
      <c r="J56" s="50"/>
    </row>
  </sheetData>
  <mergeCells count="64">
    <mergeCell ref="A1:A3"/>
    <mergeCell ref="B1:E2"/>
    <mergeCell ref="F1:G1"/>
    <mergeCell ref="H1:I1"/>
    <mergeCell ref="F2:G2"/>
    <mergeCell ref="H2:I2"/>
    <mergeCell ref="B3:E3"/>
    <mergeCell ref="F3:G3"/>
    <mergeCell ref="H3:I3"/>
    <mergeCell ref="A4:I4"/>
    <mergeCell ref="A6:B6"/>
    <mergeCell ref="E6:F6"/>
    <mergeCell ref="G6:H6"/>
    <mergeCell ref="A7:B7"/>
    <mergeCell ref="C7:I7"/>
    <mergeCell ref="A8:B8"/>
    <mergeCell ref="C8:I8"/>
    <mergeCell ref="A9:B9"/>
    <mergeCell ref="C9:I9"/>
    <mergeCell ref="A10:B10"/>
    <mergeCell ref="C10:I10"/>
    <mergeCell ref="A11:B11"/>
    <mergeCell ref="C11:I11"/>
    <mergeCell ref="A12:B12"/>
    <mergeCell ref="C12:I12"/>
    <mergeCell ref="A13:B13"/>
    <mergeCell ref="C13:I13"/>
    <mergeCell ref="A14:B14"/>
    <mergeCell ref="C14:I14"/>
    <mergeCell ref="A15:B15"/>
    <mergeCell ref="C15:I15"/>
    <mergeCell ref="A16:B16"/>
    <mergeCell ref="C16:I16"/>
    <mergeCell ref="A17:B17"/>
    <mergeCell ref="C17:I17"/>
    <mergeCell ref="A18:B18"/>
    <mergeCell ref="C18:I18"/>
    <mergeCell ref="A19:B19"/>
    <mergeCell ref="C19:I19"/>
    <mergeCell ref="A20:B20"/>
    <mergeCell ref="C20:I20"/>
    <mergeCell ref="A21:B21"/>
    <mergeCell ref="C21:I21"/>
    <mergeCell ref="A22:B22"/>
    <mergeCell ref="C22:I22"/>
    <mergeCell ref="A31:I31"/>
    <mergeCell ref="A23:B23"/>
    <mergeCell ref="C23:I23"/>
    <mergeCell ref="A24:B24"/>
    <mergeCell ref="C24:I24"/>
    <mergeCell ref="A25:B25"/>
    <mergeCell ref="C25:I25"/>
    <mergeCell ref="A26:B26"/>
    <mergeCell ref="C26:I26"/>
    <mergeCell ref="A27:B27"/>
    <mergeCell ref="C27:I27"/>
    <mergeCell ref="A29:I29"/>
    <mergeCell ref="A54:I54"/>
    <mergeCell ref="A33:I33"/>
    <mergeCell ref="A35:I35"/>
    <mergeCell ref="A37:I37"/>
    <mergeCell ref="A39:I39"/>
    <mergeCell ref="A40:I40"/>
    <mergeCell ref="A53:I53"/>
  </mergeCells>
  <conditionalFormatting sqref="C18:I18">
    <cfRule type="expression" dxfId="52" priority="6">
      <formula>$C$18&lt;=0</formula>
    </cfRule>
  </conditionalFormatting>
  <conditionalFormatting sqref="C20:I20">
    <cfRule type="expression" dxfId="51" priority="5">
      <formula>$C$20&lt;=0</formula>
    </cfRule>
  </conditionalFormatting>
  <conditionalFormatting sqref="C23:I23">
    <cfRule type="expression" dxfId="50" priority="4">
      <formula>$C$23&lt;=0</formula>
    </cfRule>
  </conditionalFormatting>
  <conditionalFormatting sqref="C27:I27">
    <cfRule type="expression" dxfId="49" priority="3">
      <formula>$C$27&lt;=0</formula>
    </cfRule>
  </conditionalFormatting>
  <conditionalFormatting sqref="C25:I25">
    <cfRule type="expression" dxfId="48" priority="2">
      <formula>$C$25&lt;=0</formula>
    </cfRule>
  </conditionalFormatting>
  <conditionalFormatting sqref="C19:I19">
    <cfRule type="expression" dxfId="47" priority="1">
      <formula>$C$20&lt;=0</formula>
    </cfRule>
  </conditionalFormatting>
  <printOptions horizontalCentered="1"/>
  <pageMargins left="0.78740157480314965" right="0.39370078740157483" top="0.59055118110236227" bottom="1.3779527559055118" header="0.31496062992125984" footer="0.11811023622047245"/>
  <pageSetup scale="82" orientation="portrait" r:id="rId1"/>
  <headerFooter>
    <oddFooter xml:space="preserve">&amp;L&amp;G&amp;R&amp;"-,Cursiva"&amp;9Página &amp;P de &amp;N
&amp;G&amp;"-,Normal"&amp;11
</oddFooter>
  </headerFooter>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1:L56"/>
  <sheetViews>
    <sheetView zoomScaleNormal="100" zoomScaleSheetLayoutView="90" workbookViewId="0">
      <selection activeCell="O15" sqref="O15"/>
    </sheetView>
  </sheetViews>
  <sheetFormatPr baseColWidth="10" defaultColWidth="11.5703125" defaultRowHeight="14.25"/>
  <cols>
    <col min="1" max="1" width="24.5703125" style="42" customWidth="1"/>
    <col min="2" max="2" width="15.85546875" style="42" customWidth="1"/>
    <col min="3" max="3" width="37.42578125" style="42" customWidth="1"/>
    <col min="4" max="4" width="7.28515625" style="42" customWidth="1"/>
    <col min="5" max="5" width="2.28515625" style="42" customWidth="1"/>
    <col min="6" max="6" width="8.5703125" style="42" customWidth="1"/>
    <col min="7" max="7" width="6.28515625" style="42" customWidth="1"/>
    <col min="8" max="8" width="4.28515625" style="42" customWidth="1"/>
    <col min="9" max="9" width="11.7109375" style="42" customWidth="1"/>
    <col min="10" max="10" width="11.5703125" style="42" customWidth="1"/>
    <col min="11" max="11" width="0" style="42" hidden="1" customWidth="1"/>
    <col min="12" max="16384" width="11.5703125" style="42"/>
  </cols>
  <sheetData>
    <row r="1" spans="1:12" ht="24.6" customHeight="1">
      <c r="A1" s="972"/>
      <c r="B1" s="973" t="s">
        <v>295</v>
      </c>
      <c r="C1" s="973"/>
      <c r="D1" s="973"/>
      <c r="E1" s="973"/>
      <c r="F1" s="975" t="s">
        <v>90</v>
      </c>
      <c r="G1" s="975"/>
      <c r="H1" s="970" t="s">
        <v>386</v>
      </c>
      <c r="I1" s="970"/>
      <c r="J1" s="41"/>
    </row>
    <row r="2" spans="1:12" ht="24.6" customHeight="1">
      <c r="A2" s="972"/>
      <c r="B2" s="973"/>
      <c r="C2" s="973"/>
      <c r="D2" s="973"/>
      <c r="E2" s="973"/>
      <c r="F2" s="975" t="s">
        <v>89</v>
      </c>
      <c r="G2" s="975"/>
      <c r="H2" s="970" t="s">
        <v>248</v>
      </c>
      <c r="I2" s="970"/>
      <c r="J2" s="41"/>
    </row>
    <row r="3" spans="1:12" ht="24.6" customHeight="1">
      <c r="A3" s="972"/>
      <c r="B3" s="970" t="s">
        <v>93</v>
      </c>
      <c r="C3" s="970"/>
      <c r="D3" s="970"/>
      <c r="E3" s="970"/>
      <c r="F3" s="1160" t="s">
        <v>88</v>
      </c>
      <c r="G3" s="1161"/>
      <c r="H3" s="971">
        <v>42646</v>
      </c>
      <c r="I3" s="970"/>
      <c r="J3" s="41"/>
    </row>
    <row r="4" spans="1:12" ht="34.9" customHeight="1">
      <c r="A4" s="1019" t="s">
        <v>293</v>
      </c>
      <c r="B4" s="1162"/>
      <c r="C4" s="1162"/>
      <c r="D4" s="1162"/>
      <c r="E4" s="1162"/>
      <c r="F4" s="1162"/>
      <c r="G4" s="1162"/>
      <c r="H4" s="1162"/>
      <c r="I4" s="1162"/>
      <c r="J4" s="41"/>
    </row>
    <row r="5" spans="1:12" ht="3" customHeight="1">
      <c r="A5" s="469"/>
      <c r="B5" s="138"/>
      <c r="C5" s="138"/>
      <c r="D5" s="138"/>
      <c r="E5" s="138"/>
      <c r="F5" s="138"/>
      <c r="G5" s="138"/>
      <c r="H5" s="138"/>
      <c r="I5" s="138"/>
      <c r="J5" s="41"/>
    </row>
    <row r="6" spans="1:12" ht="19.149999999999999" customHeight="1">
      <c r="A6" s="962" t="s">
        <v>1</v>
      </c>
      <c r="B6" s="962"/>
      <c r="C6" s="51">
        <f>DATOS!$E$10</f>
        <v>0</v>
      </c>
      <c r="D6" s="181" t="s">
        <v>92</v>
      </c>
      <c r="E6" s="974">
        <f>DATOS!E12</f>
        <v>0</v>
      </c>
      <c r="F6" s="974"/>
      <c r="G6" s="962" t="s">
        <v>86</v>
      </c>
      <c r="H6" s="962"/>
      <c r="I6" s="468">
        <f>DATOS!I12</f>
        <v>0</v>
      </c>
      <c r="J6" s="41"/>
    </row>
    <row r="7" spans="1:12" ht="19.149999999999999" customHeight="1">
      <c r="A7" s="962" t="s">
        <v>94</v>
      </c>
      <c r="B7" s="962"/>
      <c r="C7" s="963" t="s">
        <v>101</v>
      </c>
      <c r="D7" s="963"/>
      <c r="E7" s="963"/>
      <c r="F7" s="963"/>
      <c r="G7" s="963"/>
      <c r="H7" s="963"/>
      <c r="I7" s="963"/>
      <c r="J7" s="41"/>
    </row>
    <row r="8" spans="1:12" ht="19.149999999999999" customHeight="1">
      <c r="A8" s="962" t="s">
        <v>95</v>
      </c>
      <c r="B8" s="962"/>
      <c r="C8" s="963" t="s">
        <v>102</v>
      </c>
      <c r="D8" s="963"/>
      <c r="E8" s="963"/>
      <c r="F8" s="963"/>
      <c r="G8" s="963"/>
      <c r="H8" s="963"/>
      <c r="I8" s="963"/>
      <c r="J8" s="41"/>
    </row>
    <row r="9" spans="1:12" ht="19.149999999999999" customHeight="1">
      <c r="A9" s="962" t="str">
        <f>IF('REINIC 9'!C6="CONTRATO DE OBRA",("INTERVENTOR"),("SUPERVISOR"))</f>
        <v>SUPERVISOR</v>
      </c>
      <c r="B9" s="962"/>
      <c r="C9" s="963">
        <f>LOOKUP(A9,DATOS!C24:C30,DATOS!G24:G30)</f>
        <v>0</v>
      </c>
      <c r="D9" s="963"/>
      <c r="E9" s="963"/>
      <c r="F9" s="963"/>
      <c r="G9" s="963"/>
      <c r="H9" s="963"/>
      <c r="I9" s="963"/>
      <c r="K9" s="394" t="str">
        <f>LOOKUP(A9,DATOS!C24:C30,DATOS!M24:M30)</f>
        <v>la</v>
      </c>
    </row>
    <row r="10" spans="1:12" ht="19.149999999999999" customHeight="1">
      <c r="A10" s="962" t="s">
        <v>95</v>
      </c>
      <c r="B10" s="962"/>
      <c r="C10" s="963">
        <f>IF(A9=DATOS!C24,DATOS!E26,DATOS!E32)</f>
        <v>0</v>
      </c>
      <c r="D10" s="963"/>
      <c r="E10" s="963"/>
      <c r="F10" s="963"/>
      <c r="G10" s="963"/>
      <c r="H10" s="963"/>
      <c r="I10" s="963"/>
      <c r="K10" s="394"/>
    </row>
    <row r="11" spans="1:12" ht="19.149999999999999" customHeight="1">
      <c r="A11" s="962" t="s">
        <v>5</v>
      </c>
      <c r="B11" s="962"/>
      <c r="C11" s="963" t="str">
        <f>IF(DATOS!G28&gt;0,DATOS!G28,"N/A")</f>
        <v>N/A</v>
      </c>
      <c r="D11" s="963"/>
      <c r="E11" s="963"/>
      <c r="F11" s="963"/>
      <c r="G11" s="963"/>
      <c r="H11" s="963"/>
      <c r="I11" s="963"/>
      <c r="K11" s="394"/>
    </row>
    <row r="12" spans="1:12" ht="19.149999999999999" customHeight="1">
      <c r="A12" s="962" t="s">
        <v>107</v>
      </c>
      <c r="B12" s="962"/>
      <c r="C12" s="963">
        <f>DATOS!G16</f>
        <v>0</v>
      </c>
      <c r="D12" s="963"/>
      <c r="E12" s="963"/>
      <c r="F12" s="963"/>
      <c r="G12" s="963"/>
      <c r="H12" s="963"/>
      <c r="I12" s="963"/>
      <c r="K12" s="394" t="str">
        <f>DATOS!M16</f>
        <v>la</v>
      </c>
    </row>
    <row r="13" spans="1:12" ht="19.149999999999999" customHeight="1">
      <c r="A13" s="962" t="s">
        <v>95</v>
      </c>
      <c r="B13" s="962"/>
      <c r="C13" s="1163">
        <f>DATOS!E18</f>
        <v>0</v>
      </c>
      <c r="D13" s="963"/>
      <c r="E13" s="963"/>
      <c r="F13" s="963"/>
      <c r="G13" s="963"/>
      <c r="H13" s="963"/>
      <c r="I13" s="963"/>
      <c r="K13" s="394"/>
    </row>
    <row r="14" spans="1:12" ht="19.149999999999999" customHeight="1">
      <c r="A14" s="962" t="s">
        <v>5</v>
      </c>
      <c r="B14" s="962"/>
      <c r="C14" s="963" t="str">
        <f>IF(DATOS!G20&gt;0,DATOS!G20,"N/A")</f>
        <v>N/A</v>
      </c>
      <c r="D14" s="963"/>
      <c r="E14" s="963"/>
      <c r="F14" s="963"/>
      <c r="G14" s="963"/>
      <c r="H14" s="963"/>
      <c r="I14" s="963"/>
      <c r="K14" s="394" t="str">
        <f>DATOS!M20</f>
        <v>la</v>
      </c>
    </row>
    <row r="15" spans="1:12" ht="66.599999999999994" customHeight="1">
      <c r="A15" s="962" t="s">
        <v>8</v>
      </c>
      <c r="B15" s="962"/>
      <c r="C15" s="968">
        <f>DATOS!E38</f>
        <v>0</v>
      </c>
      <c r="D15" s="968"/>
      <c r="E15" s="968"/>
      <c r="F15" s="968"/>
      <c r="G15" s="968"/>
      <c r="H15" s="968"/>
      <c r="I15" s="968"/>
    </row>
    <row r="16" spans="1:12" ht="19.149999999999999" customHeight="1">
      <c r="A16" s="962" t="s">
        <v>12</v>
      </c>
      <c r="B16" s="962"/>
      <c r="C16" s="969">
        <f>DATOS!E46</f>
        <v>0</v>
      </c>
      <c r="D16" s="969"/>
      <c r="E16" s="969"/>
      <c r="F16" s="969"/>
      <c r="G16" s="969"/>
      <c r="H16" s="969"/>
      <c r="I16" s="969"/>
      <c r="L16" s="403" t="s">
        <v>394</v>
      </c>
    </row>
    <row r="17" spans="1:10" ht="19.149999999999999" customHeight="1">
      <c r="A17" s="1167" t="s">
        <v>391</v>
      </c>
      <c r="B17" s="1168"/>
      <c r="C17" s="1169">
        <f>IF(C18="","",DATOS!E174)</f>
        <v>42602</v>
      </c>
      <c r="D17" s="1170"/>
      <c r="E17" s="1170"/>
      <c r="F17" s="1170"/>
      <c r="G17" s="1170"/>
      <c r="H17" s="1170"/>
      <c r="I17" s="1171"/>
    </row>
    <row r="18" spans="1:10" ht="19.149999999999999" customHeight="1">
      <c r="A18" s="962" t="s">
        <v>278</v>
      </c>
      <c r="B18" s="962"/>
      <c r="C18" s="1172">
        <f>DATOS!E60</f>
        <v>30000000</v>
      </c>
      <c r="D18" s="1173"/>
      <c r="E18" s="1173"/>
      <c r="F18" s="1173"/>
      <c r="G18" s="1173"/>
      <c r="H18" s="1173"/>
      <c r="I18" s="1174"/>
    </row>
    <row r="19" spans="1:10" ht="19.149999999999999" customHeight="1">
      <c r="A19" s="1167" t="s">
        <v>392</v>
      </c>
      <c r="B19" s="1168"/>
      <c r="C19" s="1172">
        <f>IF(C20="","",DATOS!E176)</f>
        <v>0</v>
      </c>
      <c r="D19" s="1173"/>
      <c r="E19" s="1173"/>
      <c r="F19" s="1173"/>
      <c r="G19" s="1173"/>
      <c r="H19" s="1173"/>
      <c r="I19" s="1174"/>
    </row>
    <row r="20" spans="1:10" ht="19.149999999999999" customHeight="1">
      <c r="A20" s="962" t="s">
        <v>279</v>
      </c>
      <c r="B20" s="962"/>
      <c r="C20" s="1172">
        <f>DATOS!E62</f>
        <v>0</v>
      </c>
      <c r="D20" s="1173"/>
      <c r="E20" s="1173"/>
      <c r="F20" s="1173"/>
      <c r="G20" s="1173"/>
      <c r="H20" s="1173"/>
      <c r="I20" s="1174"/>
    </row>
    <row r="21" spans="1:10" ht="19.149999999999999" customHeight="1">
      <c r="A21" s="962" t="s">
        <v>11</v>
      </c>
      <c r="B21" s="962"/>
      <c r="C21" s="1175" t="str">
        <f>CONCATENATE(DATOS!E44,DATOS!F44,DATOS!G44)</f>
        <v xml:space="preserve"> </v>
      </c>
      <c r="D21" s="1176"/>
      <c r="E21" s="1176"/>
      <c r="F21" s="1176"/>
      <c r="G21" s="1176"/>
      <c r="H21" s="1176"/>
      <c r="I21" s="1177"/>
    </row>
    <row r="22" spans="1:10" ht="19.149999999999999" customHeight="1">
      <c r="A22" s="962" t="s">
        <v>388</v>
      </c>
      <c r="B22" s="962"/>
      <c r="C22" s="1169">
        <f>IF(C23="","",DATOS!E174)</f>
        <v>42602</v>
      </c>
      <c r="D22" s="1170"/>
      <c r="E22" s="1170"/>
      <c r="F22" s="1170"/>
      <c r="G22" s="1170"/>
      <c r="H22" s="1170"/>
      <c r="I22" s="1171"/>
    </row>
    <row r="23" spans="1:10" ht="19.149999999999999" customHeight="1">
      <c r="A23" s="962" t="s">
        <v>280</v>
      </c>
      <c r="B23" s="962"/>
      <c r="C23" s="1175" t="str">
        <f>IF(DATOS!E64&gt;0,CONCATENATE(DATOS!E64,DATOS!F64,DATOS!G64),0)</f>
        <v>5 MESES</v>
      </c>
      <c r="D23" s="1176"/>
      <c r="E23" s="1176"/>
      <c r="F23" s="1176"/>
      <c r="G23" s="1176"/>
      <c r="H23" s="1176"/>
      <c r="I23" s="1177"/>
    </row>
    <row r="24" spans="1:10" ht="19.149999999999999" customHeight="1">
      <c r="A24" s="1167" t="s">
        <v>389</v>
      </c>
      <c r="B24" s="1168"/>
      <c r="C24" s="1169">
        <f>IF(C20="","",DATOS!E176)</f>
        <v>0</v>
      </c>
      <c r="D24" s="1170"/>
      <c r="E24" s="1170"/>
      <c r="F24" s="1170"/>
      <c r="G24" s="1170"/>
      <c r="H24" s="1170"/>
      <c r="I24" s="1171"/>
    </row>
    <row r="25" spans="1:10" ht="19.149999999999999" customHeight="1">
      <c r="A25" s="962" t="s">
        <v>281</v>
      </c>
      <c r="B25" s="962"/>
      <c r="C25" s="1175">
        <f>IF(DATOS!E66&gt;0,CONCATENATE(DATOS!E66,DATOS!F66,DATOS!G66),0)</f>
        <v>0</v>
      </c>
      <c r="D25" s="1176"/>
      <c r="E25" s="1176"/>
      <c r="F25" s="1176"/>
      <c r="G25" s="1176"/>
      <c r="H25" s="1176"/>
      <c r="I25" s="1177"/>
    </row>
    <row r="26" spans="1:10" ht="19.149999999999999" customHeight="1">
      <c r="A26" s="1167" t="s">
        <v>390</v>
      </c>
      <c r="B26" s="1168"/>
      <c r="C26" s="1169">
        <f>IF(C27="","",DATOS!E178)</f>
        <v>0</v>
      </c>
      <c r="D26" s="1170"/>
      <c r="E26" s="1170"/>
      <c r="F26" s="1170"/>
      <c r="G26" s="1170"/>
      <c r="H26" s="1170"/>
      <c r="I26" s="1171"/>
    </row>
    <row r="27" spans="1:10" ht="19.149999999999999" customHeight="1">
      <c r="A27" s="962" t="s">
        <v>282</v>
      </c>
      <c r="B27" s="962"/>
      <c r="C27" s="1175">
        <f>IF(DATOS!E68&gt;0,CONCATENATE(DATOS!E68,DATOS!F68,DATOS!G68),0)</f>
        <v>0</v>
      </c>
      <c r="D27" s="1176"/>
      <c r="E27" s="1176"/>
      <c r="F27" s="1176"/>
      <c r="G27" s="1176"/>
      <c r="H27" s="1176"/>
      <c r="I27" s="1177"/>
    </row>
    <row r="28" spans="1:10" ht="27.6" customHeight="1">
      <c r="A28" s="53"/>
      <c r="B28" s="53"/>
      <c r="C28" s="53"/>
      <c r="D28" s="53"/>
      <c r="E28" s="53"/>
      <c r="F28" s="53"/>
      <c r="G28" s="53"/>
      <c r="H28" s="53"/>
      <c r="I28" s="53"/>
    </row>
    <row r="29" spans="1:10" ht="75" customHeight="1">
      <c r="A29" s="961" t="str">
        <f>IF(DATOS!E16="Persona Jurídica",IF(DATOS!E24="Persona Jurídica","En Popayán el día "&amp;IF((TEXT(DATOS!E74,"d"))="1",("Uno" &amp;" ("&amp;TEXT(DATOS!E74,"dd")&amp;") del mes de "&amp;TEXT(DATOS!E74,"mmmm")&amp;" de "&amp;TEXT(DATOS!E74,"yyyy")&amp;",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el reinicio del contrato en referencia."),LETRAS(TEXT(DATOS!E74,"d"))&amp;" ("&amp;TEXT(DATOS!E74,"dd")&amp;") del mes de "&amp;TEXT(DATOS!E74,"mmmm")&amp;" de "&amp;TEXT(DATOS!E74,"yyyy")&amp;",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el reinicio del contrato en referencia."),"En Popayán el día "&amp;IF((TEXT(DATOS!E74,"d"))="1",("Uno" &amp;" ("&amp;TEXT(DATOS!E74,"dd")&amp;") del mes de "&amp;TEXT(DATOS!E74,"mmmm")&amp;" de "&amp;TEXT(DATOS!E74,"yyyy")&amp;", se reunieron "&amp;DATOS!E40&amp;" en calidad de Gerente de Emcaservicios S.A. E.S.P.,"&amp;K9&amp;" "&amp;DATOS!E24&amp;" "&amp;C9&amp;", en calidad de "&amp;A9&amp;" del "&amp;DATOS!E10&amp;" No. "&amp;DATOS!E12&amp;" "&amp;DATOS!G12&amp;" "&amp;DATOS!I12&amp;", por una parte, y por la otra "&amp;K14&amp;" "&amp;DATOS!E20&amp;" "&amp;C14&amp;" Representante legal de "&amp;C12&amp;" en calidad de "&amp;A12&amp;", para acordar el reinicio del contrato en referencia."),LETRAS(TEXT(DATOS!E74,"d"))&amp;" ("&amp;TEXT(DATOS!E74,"dd")&amp;") del mes de "&amp;TEXT(DATOS!E74,"mmmm")&amp;" de "&amp;TEXT(DATOS!E74,"yyyy")&amp;", se reunieron "&amp;DATOS!E40&amp;" en calidad de Gerente de Emcaservicios S.A. E.S.P.,"&amp;K9&amp;" "&amp;DATOS!E24&amp;" "&amp;C9&amp;", en calidad de "&amp;A9&amp;" del "&amp;DATOS!E10&amp;" No. "&amp;DATOS!E12&amp;" "&amp;DATOS!G12&amp;" "&amp;DATOS!I12&amp;", por una parte, y por la otra "&amp;K14&amp;" "&amp;DATOS!E20&amp;" "&amp;C14&amp;" Representante legal de "&amp;C12&amp;" en calidad de "&amp;A12&amp;", para acordar el reinicio del contrato en referencia.")),IF(DATOS!E24="Persona Jurídica","En Popayán el día "&amp;IF((TEXT(DATOS!E74,"d"))="1",("Uno" &amp;" ("&amp;TEXT(DATOS!E74,"dd")&amp;") del mes de "&amp;TEXT(DATOS!E74,"mmmm")&amp;" de "&amp;TEXT(DATOS!E74,"yyyy")&amp;",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"&amp;K12&amp;" "&amp;DATOS!E16&amp;" "&amp;C12&amp;" en calidad de "&amp;A12&amp;", para acordar el reinicio del contrato en referencia."),LETRAS(TEXT(DATOS!E74,"d"))&amp;" ("&amp;TEXT(DATOS!E74,"dd")&amp;") del mes de "&amp;TEXT(DATOS!E74,"mmmm")&amp;" de "&amp;TEXT(DATOS!E74,"yyyy")&amp;",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"&amp;K12&amp;" "&amp;DATOS!E16&amp;" "&amp;C12&amp;" en calidad de "&amp;A12&amp;", para acordar el reinicio del contrato en referencia."),"En Popayán el día "&amp;IF((TEXT(DATOS!E74,"d"))="1",("Uno" &amp;" ("&amp;TEXT(DATOS!E74,"dd")&amp;") del mes de "&amp;TEXT(DATOS!E74,"mmmm")&amp;" de "&amp;TEXT(DATOS!E74,"yyyy")&amp;", se reunieron "&amp;DATOS!E40&amp;" en calidad de Gerente de Emcaservicios S.A. E.S.P.,"&amp;K9&amp;" "&amp;DATOS!E24&amp;" "&amp;C9&amp;", en calidad de "&amp;A9&amp;" del "&amp;DATOS!E10&amp;" No. "&amp;DATOS!E12&amp;" "&amp;DATOS!G12&amp;" "&amp;DATOS!I12&amp;", por una parte, y por la otra "&amp;K12&amp;" "&amp;DATOS!E16&amp;" "&amp;C12&amp;" en calidad de "&amp;A12&amp;", para acordar el reinicio del contrato en referencia."),LETRAS(TEXT(DATOS!E74,"d"))&amp;" ("&amp;TEXT(DATOS!E74,"dd")&amp;") del mes de "&amp;TEXT(DATOS!E74,"mmmm")&amp;" de "&amp;TEXT(DATOS!E74,"yyyy")&amp;", se reunieron "&amp;DATOS!E40&amp;" en calidad de Gerente de Emcaservicios S.A. E.S.P.,"&amp;K9&amp;" "&amp;DATOS!E24&amp;" "&amp;C9&amp;", en calidad de "&amp;A9&amp;" del "&amp;DATOS!E10&amp;" No. "&amp;DATOS!E12&amp;" "&amp;DATOS!G12&amp;" "&amp;DATOS!I12&amp;", por una parte, y por la otra "&amp;K12&amp;" "&amp;DATOS!E16&amp;" "&amp;C12&amp;" en calidad de "&amp;A12&amp;", para acordar el reinicio del contrato en referencia.")))</f>
        <v>En Popayán el día Treinta (30) del mes de March de 2016, se reunieron  en calidad de Gerente de Emcaservicios S.A. E.S.P.,la  0, en calidad de SUPERVISOR del  No.   , por una parte, y por la otra la  0 en calidad de CONTRATISTA, para acordar el reinicio del contrato en referencia.</v>
      </c>
      <c r="B29" s="961"/>
      <c r="C29" s="961"/>
      <c r="D29" s="961"/>
      <c r="E29" s="961"/>
      <c r="F29" s="961"/>
      <c r="G29" s="961"/>
      <c r="H29" s="961"/>
      <c r="I29" s="961"/>
      <c r="J29" s="50"/>
    </row>
    <row r="30" spans="1:10" ht="15">
      <c r="A30" s="467"/>
      <c r="B30" s="467"/>
      <c r="C30" s="467"/>
      <c r="D30" s="467"/>
      <c r="E30" s="467"/>
      <c r="F30" s="467"/>
      <c r="G30" s="467"/>
      <c r="H30" s="467"/>
      <c r="I30" s="467"/>
      <c r="J30" s="50"/>
    </row>
    <row r="31" spans="1:10" ht="15">
      <c r="A31" s="961" t="s">
        <v>336</v>
      </c>
      <c r="B31" s="961"/>
      <c r="C31" s="961"/>
      <c r="D31" s="961"/>
      <c r="E31" s="961"/>
      <c r="F31" s="961"/>
      <c r="G31" s="961"/>
      <c r="H31" s="961"/>
      <c r="I31" s="961"/>
      <c r="J31" s="50"/>
    </row>
    <row r="32" spans="1:10" ht="15">
      <c r="A32" s="467"/>
      <c r="B32" s="467"/>
      <c r="C32" s="467"/>
      <c r="D32" s="467"/>
      <c r="E32" s="467"/>
      <c r="F32" s="467"/>
      <c r="G32" s="467"/>
      <c r="H32" s="467"/>
      <c r="I32" s="467"/>
      <c r="J32" s="50"/>
    </row>
    <row r="33" spans="1:10" ht="27" customHeight="1">
      <c r="A33" s="1166" t="s">
        <v>335</v>
      </c>
      <c r="B33" s="961"/>
      <c r="C33" s="961"/>
      <c r="D33" s="961"/>
      <c r="E33" s="961"/>
      <c r="F33" s="961"/>
      <c r="G33" s="961"/>
      <c r="H33" s="961"/>
      <c r="I33" s="961"/>
      <c r="J33" s="50"/>
    </row>
    <row r="34" spans="1:10" ht="15">
      <c r="A34" s="467"/>
      <c r="B34" s="467"/>
      <c r="C34" s="467"/>
      <c r="D34" s="467"/>
      <c r="E34" s="467"/>
      <c r="F34" s="467"/>
      <c r="G34" s="467"/>
      <c r="H34" s="467"/>
      <c r="I34" s="467"/>
      <c r="J34" s="50"/>
    </row>
    <row r="35" spans="1:10" ht="15.75">
      <c r="A35" s="1165" t="s">
        <v>283</v>
      </c>
      <c r="B35" s="1165"/>
      <c r="C35" s="1165"/>
      <c r="D35" s="1165"/>
      <c r="E35" s="1165"/>
      <c r="F35" s="1165"/>
      <c r="G35" s="1165"/>
      <c r="H35" s="1165"/>
      <c r="I35" s="1165"/>
      <c r="J35" s="50"/>
    </row>
    <row r="36" spans="1:10" ht="15">
      <c r="A36" s="467"/>
      <c r="B36" s="467"/>
      <c r="C36" s="467"/>
      <c r="D36" s="467"/>
      <c r="E36" s="467"/>
      <c r="F36" s="467"/>
      <c r="G36" s="467"/>
      <c r="H36" s="467"/>
      <c r="I36" s="467"/>
      <c r="J36" s="50"/>
    </row>
    <row r="37" spans="1:10" ht="48.6" customHeight="1">
      <c r="A37" s="1178" t="s">
        <v>387</v>
      </c>
      <c r="B37" s="1178"/>
      <c r="C37" s="1178"/>
      <c r="D37" s="1178"/>
      <c r="E37" s="1178"/>
      <c r="F37" s="1178"/>
      <c r="G37" s="1178"/>
      <c r="H37" s="1178"/>
      <c r="I37" s="1178"/>
      <c r="J37" s="50"/>
    </row>
    <row r="38" spans="1:10" ht="15">
      <c r="A38" s="467"/>
      <c r="B38" s="467"/>
      <c r="C38" s="467"/>
      <c r="D38" s="467"/>
      <c r="E38" s="467"/>
      <c r="F38" s="467"/>
      <c r="G38" s="467"/>
      <c r="H38" s="467"/>
      <c r="I38" s="467"/>
      <c r="J38" s="50"/>
    </row>
    <row r="39" spans="1:10" ht="31.9" customHeight="1">
      <c r="A39" s="964" t="str">
        <f>"Para constancia de lo anterior, se firma en Popayán (Cauca) el día "&amp;IF((TEXT(DATOS!E74,"d"))="1",("Uno"&amp;" ("&amp;TEXT(DATOS!E74,"dd")&amp;") del mes de "&amp;TEXT(DATOS!E74,"mmmm")&amp;" de "&amp;LETRAS(TEXT(DATOS!E74,"YYYY"))&amp;" ("&amp;TEXT(DATOS!E74,"yyyy"))&amp;").",LETRAS(TEXT(DATOS!E74,"d"))&amp;" ("&amp;TEXT(DATOS!E74,"dd")&amp;") del mes de "&amp;TEXT(DATOS!E74,"mmmm")&amp;" de "&amp;LETRAS(TEXT(DATOS!E74,"YYYY"))&amp;" ("&amp;TEXT(DATOS!E74,"yyyy")&amp;").")</f>
        <v>Para constancia de lo anterior, se firma en Popayán (Cauca) el día Treinta (30) del mes de March de Dos Mil Dieciséis (2016).</v>
      </c>
      <c r="B39" s="964"/>
      <c r="C39" s="964"/>
      <c r="D39" s="964"/>
      <c r="E39" s="964"/>
      <c r="F39" s="964"/>
      <c r="G39" s="964"/>
      <c r="H39" s="964"/>
      <c r="I39" s="964"/>
    </row>
    <row r="40" spans="1:10" ht="15">
      <c r="A40" s="961"/>
      <c r="B40" s="961"/>
      <c r="C40" s="961"/>
      <c r="D40" s="961"/>
      <c r="E40" s="961"/>
      <c r="F40" s="961"/>
      <c r="G40" s="961"/>
      <c r="H40" s="961"/>
      <c r="I40" s="961"/>
      <c r="J40" s="50"/>
    </row>
    <row r="41" spans="1:10" ht="15">
      <c r="A41" s="53"/>
      <c r="B41" s="53"/>
      <c r="C41" s="53"/>
      <c r="D41" s="53"/>
      <c r="E41" s="53"/>
      <c r="F41" s="53"/>
      <c r="G41" s="53"/>
      <c r="H41" s="53"/>
      <c r="I41" s="53"/>
    </row>
    <row r="42" spans="1:10" ht="15">
      <c r="A42" s="53"/>
      <c r="B42" s="53"/>
      <c r="C42" s="53"/>
      <c r="D42" s="53"/>
      <c r="E42" s="53"/>
      <c r="F42" s="53"/>
      <c r="G42" s="53"/>
      <c r="H42" s="53"/>
      <c r="I42" s="53"/>
    </row>
    <row r="43" spans="1:10" ht="15">
      <c r="A43" s="53"/>
      <c r="B43" s="53"/>
      <c r="C43" s="53"/>
      <c r="D43" s="53"/>
      <c r="E43" s="53"/>
      <c r="F43" s="53"/>
      <c r="G43" s="53"/>
      <c r="H43" s="53"/>
      <c r="I43" s="53"/>
    </row>
    <row r="44" spans="1:10" ht="15">
      <c r="A44" s="53"/>
      <c r="B44" s="53"/>
      <c r="C44" s="53"/>
      <c r="D44" s="53"/>
      <c r="E44" s="53"/>
      <c r="F44" s="53"/>
      <c r="G44" s="53"/>
      <c r="H44" s="53"/>
      <c r="I44" s="53"/>
    </row>
    <row r="45" spans="1:10" ht="15.75">
      <c r="A45" s="53"/>
      <c r="B45" s="471">
        <f>IF(DATOS!E16="Persona Jurídica",DATOS!G20,DATOS!G16)</f>
        <v>0</v>
      </c>
      <c r="C45" s="53"/>
      <c r="D45" s="53"/>
      <c r="E45" s="53"/>
      <c r="F45" s="471">
        <f>IF(DATOS!E10="CONTRATO DE OBRA",IF(DATOS!E24="Persona Jurídica",DATOS!G28,DATOS!G24),DATOS!G30)</f>
        <v>0</v>
      </c>
      <c r="G45" s="53"/>
      <c r="H45" s="53"/>
      <c r="I45" s="53"/>
    </row>
    <row r="46" spans="1:10" ht="15">
      <c r="A46" s="53"/>
      <c r="B46" s="472" t="str">
        <f>IF(DATOS!E16="Persona Jurídica",DATOS!G16,"Contratista")</f>
        <v>Contratista</v>
      </c>
      <c r="C46" s="53"/>
      <c r="D46" s="53"/>
      <c r="E46" s="53"/>
      <c r="F46" s="472" t="str">
        <f>IF(DATOS!E24="Persona Jurídica",DATOS!G24,"Interventor")</f>
        <v>Interventor</v>
      </c>
      <c r="G46" s="53"/>
      <c r="H46" s="53"/>
      <c r="I46" s="53"/>
    </row>
    <row r="47" spans="1:10" ht="15">
      <c r="A47" s="53"/>
      <c r="B47" s="472" t="str">
        <f>IF(DATOS!E16="Persona jurídica","Contratista"," ")</f>
        <v xml:space="preserve"> </v>
      </c>
      <c r="C47" s="53"/>
      <c r="D47" s="53"/>
      <c r="E47" s="53"/>
      <c r="F47" s="472" t="str">
        <f>IF(DATOS!E24="Persona jurídica","Interventor"," ")</f>
        <v xml:space="preserve"> </v>
      </c>
      <c r="G47" s="53"/>
      <c r="H47" s="53"/>
      <c r="I47" s="53"/>
    </row>
    <row r="48" spans="1:10" ht="15">
      <c r="A48" s="53"/>
      <c r="B48" s="472"/>
      <c r="C48" s="53"/>
      <c r="D48" s="53"/>
      <c r="E48" s="53"/>
      <c r="F48" s="472"/>
      <c r="G48" s="53"/>
      <c r="H48" s="53"/>
      <c r="I48" s="53"/>
    </row>
    <row r="49" spans="1:10" ht="15">
      <c r="A49" s="53"/>
      <c r="B49" s="472"/>
      <c r="C49" s="53"/>
      <c r="D49" s="53"/>
      <c r="E49" s="53"/>
      <c r="F49" s="472"/>
      <c r="G49" s="53"/>
      <c r="H49" s="53"/>
      <c r="I49" s="53"/>
    </row>
    <row r="50" spans="1:10" ht="15">
      <c r="A50" s="53"/>
      <c r="B50" s="472"/>
      <c r="C50" s="53"/>
      <c r="D50" s="53"/>
      <c r="E50" s="53"/>
      <c r="F50" s="472"/>
      <c r="G50" s="53"/>
      <c r="H50" s="53"/>
      <c r="I50" s="53"/>
    </row>
    <row r="51" spans="1:10" ht="15">
      <c r="A51" s="53"/>
      <c r="B51" s="472"/>
      <c r="C51" s="53"/>
      <c r="D51" s="53"/>
      <c r="E51" s="53"/>
      <c r="F51" s="472"/>
      <c r="G51" s="53"/>
      <c r="H51" s="53"/>
      <c r="I51" s="53"/>
    </row>
    <row r="52" spans="1:10" ht="15">
      <c r="A52" s="53"/>
      <c r="B52" s="472"/>
      <c r="C52" s="53"/>
      <c r="D52" s="53"/>
      <c r="E52" s="53"/>
      <c r="F52" s="472"/>
      <c r="G52" s="53"/>
      <c r="H52" s="53"/>
      <c r="I52" s="53"/>
    </row>
    <row r="53" spans="1:10" ht="15.75">
      <c r="A53" s="1273">
        <f>DATOS!E40</f>
        <v>0</v>
      </c>
      <c r="B53" s="1273"/>
      <c r="C53" s="1273"/>
      <c r="D53" s="1273"/>
      <c r="E53" s="1273"/>
      <c r="F53" s="1273"/>
      <c r="G53" s="1273"/>
      <c r="H53" s="1273"/>
      <c r="I53" s="1273"/>
    </row>
    <row r="54" spans="1:10" ht="15.6" customHeight="1">
      <c r="A54" s="1272" t="s">
        <v>331</v>
      </c>
      <c r="B54" s="1272"/>
      <c r="C54" s="1272"/>
      <c r="D54" s="1272"/>
      <c r="E54" s="1272"/>
      <c r="F54" s="1272"/>
      <c r="G54" s="1272"/>
      <c r="H54" s="1272"/>
      <c r="I54" s="1272"/>
    </row>
    <row r="55" spans="1:10" ht="15">
      <c r="A55" s="53"/>
      <c r="B55" s="472"/>
      <c r="C55" s="53"/>
      <c r="D55" s="53"/>
      <c r="E55" s="53"/>
      <c r="F55" s="472"/>
      <c r="G55" s="53"/>
      <c r="H55" s="53"/>
      <c r="I55" s="53"/>
    </row>
    <row r="56" spans="1:10" ht="15">
      <c r="A56" s="53"/>
      <c r="B56" s="53"/>
      <c r="C56" s="53"/>
      <c r="D56" s="53"/>
      <c r="E56" s="53"/>
      <c r="F56" s="53"/>
      <c r="G56" s="53"/>
      <c r="H56" s="53"/>
      <c r="I56" s="53"/>
      <c r="J56" s="50"/>
    </row>
  </sheetData>
  <mergeCells count="64">
    <mergeCell ref="A1:A3"/>
    <mergeCell ref="B1:E2"/>
    <mergeCell ref="F1:G1"/>
    <mergeCell ref="H1:I1"/>
    <mergeCell ref="F2:G2"/>
    <mergeCell ref="H2:I2"/>
    <mergeCell ref="B3:E3"/>
    <mergeCell ref="F3:G3"/>
    <mergeCell ref="H3:I3"/>
    <mergeCell ref="A4:I4"/>
    <mergeCell ref="A6:B6"/>
    <mergeCell ref="E6:F6"/>
    <mergeCell ref="G6:H6"/>
    <mergeCell ref="A7:B7"/>
    <mergeCell ref="C7:I7"/>
    <mergeCell ref="A8:B8"/>
    <mergeCell ref="C8:I8"/>
    <mergeCell ref="A9:B9"/>
    <mergeCell ref="C9:I9"/>
    <mergeCell ref="A10:B10"/>
    <mergeCell ref="C10:I10"/>
    <mergeCell ref="A11:B11"/>
    <mergeCell ref="C11:I11"/>
    <mergeCell ref="A12:B12"/>
    <mergeCell ref="C12:I12"/>
    <mergeCell ref="A13:B13"/>
    <mergeCell ref="C13:I13"/>
    <mergeCell ref="A14:B14"/>
    <mergeCell ref="C14:I14"/>
    <mergeCell ref="A15:B15"/>
    <mergeCell ref="C15:I15"/>
    <mergeCell ref="A16:B16"/>
    <mergeCell ref="C16:I16"/>
    <mergeCell ref="A17:B17"/>
    <mergeCell ref="C17:I17"/>
    <mergeCell ref="A18:B18"/>
    <mergeCell ref="C18:I18"/>
    <mergeCell ref="A19:B19"/>
    <mergeCell ref="C19:I19"/>
    <mergeCell ref="A20:B20"/>
    <mergeCell ref="C20:I20"/>
    <mergeCell ref="A21:B21"/>
    <mergeCell ref="C21:I21"/>
    <mergeCell ref="A22:B22"/>
    <mergeCell ref="C22:I22"/>
    <mergeCell ref="A31:I31"/>
    <mergeCell ref="A23:B23"/>
    <mergeCell ref="C23:I23"/>
    <mergeCell ref="A24:B24"/>
    <mergeCell ref="C24:I24"/>
    <mergeCell ref="A25:B25"/>
    <mergeCell ref="C25:I25"/>
    <mergeCell ref="A26:B26"/>
    <mergeCell ref="C26:I26"/>
    <mergeCell ref="A27:B27"/>
    <mergeCell ref="C27:I27"/>
    <mergeCell ref="A29:I29"/>
    <mergeCell ref="A54:I54"/>
    <mergeCell ref="A33:I33"/>
    <mergeCell ref="A35:I35"/>
    <mergeCell ref="A37:I37"/>
    <mergeCell ref="A39:I39"/>
    <mergeCell ref="A40:I40"/>
    <mergeCell ref="A53:I53"/>
  </mergeCells>
  <conditionalFormatting sqref="C18:I18">
    <cfRule type="expression" dxfId="46" priority="6">
      <formula>$C$18&lt;=0</formula>
    </cfRule>
  </conditionalFormatting>
  <conditionalFormatting sqref="C20:I20">
    <cfRule type="expression" dxfId="45" priority="5">
      <formula>$C$20&lt;=0</formula>
    </cfRule>
  </conditionalFormatting>
  <conditionalFormatting sqref="C23:I23">
    <cfRule type="expression" dxfId="44" priority="4">
      <formula>$C$23&lt;=0</formula>
    </cfRule>
  </conditionalFormatting>
  <conditionalFormatting sqref="C27:I27">
    <cfRule type="expression" dxfId="43" priority="3">
      <formula>$C$27&lt;=0</formula>
    </cfRule>
  </conditionalFormatting>
  <conditionalFormatting sqref="C25:I25">
    <cfRule type="expression" dxfId="42" priority="2">
      <formula>$C$25&lt;=0</formula>
    </cfRule>
  </conditionalFormatting>
  <conditionalFormatting sqref="C19:I19">
    <cfRule type="expression" dxfId="41" priority="1">
      <formula>$C$20&lt;=0</formula>
    </cfRule>
  </conditionalFormatting>
  <printOptions horizontalCentered="1"/>
  <pageMargins left="0.78740157480314965" right="0.39370078740157483" top="0.59055118110236227" bottom="1.3779527559055118" header="0.31496062992125984" footer="0.11811023622047245"/>
  <pageSetup scale="82" orientation="portrait" r:id="rId1"/>
  <headerFooter>
    <oddFooter xml:space="preserve">&amp;L&amp;G&amp;R&amp;"-,Cursiva"&amp;9Página &amp;P de &amp;N
&amp;G&amp;"-,Normal"&amp;11
</oddFoot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dimension ref="A1:L56"/>
  <sheetViews>
    <sheetView zoomScaleNormal="100" zoomScaleSheetLayoutView="90" workbookViewId="0">
      <selection activeCell="A4" sqref="A4:I4"/>
    </sheetView>
  </sheetViews>
  <sheetFormatPr baseColWidth="10" defaultColWidth="11.5703125" defaultRowHeight="14.25"/>
  <cols>
    <col min="1" max="1" width="24.5703125" style="42" customWidth="1"/>
    <col min="2" max="2" width="15.85546875" style="42" customWidth="1"/>
    <col min="3" max="3" width="37.42578125" style="42" customWidth="1"/>
    <col min="4" max="4" width="7.28515625" style="42" customWidth="1"/>
    <col min="5" max="5" width="2.28515625" style="42" customWidth="1"/>
    <col min="6" max="6" width="8.5703125" style="42" customWidth="1"/>
    <col min="7" max="7" width="6.28515625" style="42" customWidth="1"/>
    <col min="8" max="8" width="4.28515625" style="42" customWidth="1"/>
    <col min="9" max="9" width="11.7109375" style="42" customWidth="1"/>
    <col min="10" max="10" width="11.5703125" style="42" customWidth="1"/>
    <col min="11" max="11" width="0" style="42" hidden="1" customWidth="1"/>
    <col min="12" max="16384" width="11.5703125" style="42"/>
  </cols>
  <sheetData>
    <row r="1" spans="1:12" ht="24.6" customHeight="1">
      <c r="A1" s="972"/>
      <c r="B1" s="973" t="s">
        <v>295</v>
      </c>
      <c r="C1" s="973"/>
      <c r="D1" s="973"/>
      <c r="E1" s="973"/>
      <c r="F1" s="975" t="s">
        <v>90</v>
      </c>
      <c r="G1" s="975"/>
      <c r="H1" s="970" t="s">
        <v>386</v>
      </c>
      <c r="I1" s="970"/>
      <c r="J1" s="41"/>
    </row>
    <row r="2" spans="1:12" ht="24.6" customHeight="1">
      <c r="A2" s="972"/>
      <c r="B2" s="973"/>
      <c r="C2" s="973"/>
      <c r="D2" s="973"/>
      <c r="E2" s="973"/>
      <c r="F2" s="975" t="s">
        <v>89</v>
      </c>
      <c r="G2" s="975"/>
      <c r="H2" s="970" t="s">
        <v>248</v>
      </c>
      <c r="I2" s="970"/>
      <c r="J2" s="41"/>
    </row>
    <row r="3" spans="1:12" ht="24.6" customHeight="1">
      <c r="A3" s="972"/>
      <c r="B3" s="970" t="s">
        <v>93</v>
      </c>
      <c r="C3" s="970"/>
      <c r="D3" s="970"/>
      <c r="E3" s="970"/>
      <c r="F3" s="1160" t="s">
        <v>88</v>
      </c>
      <c r="G3" s="1161"/>
      <c r="H3" s="971">
        <v>42646</v>
      </c>
      <c r="I3" s="970"/>
      <c r="J3" s="41"/>
    </row>
    <row r="4" spans="1:12" ht="34.9" customHeight="1">
      <c r="A4" s="1019" t="s">
        <v>294</v>
      </c>
      <c r="B4" s="1162"/>
      <c r="C4" s="1162"/>
      <c r="D4" s="1162"/>
      <c r="E4" s="1162"/>
      <c r="F4" s="1162"/>
      <c r="G4" s="1162"/>
      <c r="H4" s="1162"/>
      <c r="I4" s="1162"/>
      <c r="J4" s="41"/>
    </row>
    <row r="5" spans="1:12" ht="3" customHeight="1">
      <c r="A5" s="469"/>
      <c r="B5" s="138"/>
      <c r="C5" s="138"/>
      <c r="D5" s="138"/>
      <c r="E5" s="138"/>
      <c r="F5" s="138"/>
      <c r="G5" s="138"/>
      <c r="H5" s="138"/>
      <c r="I5" s="138"/>
      <c r="J5" s="41"/>
    </row>
    <row r="6" spans="1:12" ht="19.149999999999999" customHeight="1">
      <c r="A6" s="962" t="s">
        <v>1</v>
      </c>
      <c r="B6" s="962"/>
      <c r="C6" s="51">
        <f>DATOS!$E$10</f>
        <v>0</v>
      </c>
      <c r="D6" s="181" t="s">
        <v>92</v>
      </c>
      <c r="E6" s="974">
        <f>DATOS!E12</f>
        <v>0</v>
      </c>
      <c r="F6" s="974"/>
      <c r="G6" s="962" t="s">
        <v>86</v>
      </c>
      <c r="H6" s="962"/>
      <c r="I6" s="468">
        <f>DATOS!I12</f>
        <v>0</v>
      </c>
      <c r="J6" s="41"/>
    </row>
    <row r="7" spans="1:12" ht="19.149999999999999" customHeight="1">
      <c r="A7" s="962" t="s">
        <v>94</v>
      </c>
      <c r="B7" s="962"/>
      <c r="C7" s="963" t="s">
        <v>101</v>
      </c>
      <c r="D7" s="963"/>
      <c r="E7" s="963"/>
      <c r="F7" s="963"/>
      <c r="G7" s="963"/>
      <c r="H7" s="963"/>
      <c r="I7" s="963"/>
      <c r="J7" s="41"/>
    </row>
    <row r="8" spans="1:12" ht="19.149999999999999" customHeight="1">
      <c r="A8" s="962" t="s">
        <v>95</v>
      </c>
      <c r="B8" s="962"/>
      <c r="C8" s="963" t="s">
        <v>102</v>
      </c>
      <c r="D8" s="963"/>
      <c r="E8" s="963"/>
      <c r="F8" s="963"/>
      <c r="G8" s="963"/>
      <c r="H8" s="963"/>
      <c r="I8" s="963"/>
      <c r="J8" s="41"/>
    </row>
    <row r="9" spans="1:12" ht="19.149999999999999" customHeight="1">
      <c r="A9" s="962" t="str">
        <f>IF('REINIC 10'!C6="CONTRATO DE OBRA",("INTERVENTOR"),("SUPERVISOR"))</f>
        <v>SUPERVISOR</v>
      </c>
      <c r="B9" s="962"/>
      <c r="C9" s="963">
        <f>LOOKUP(A9,DATOS!C24:C30,DATOS!G24:G30)</f>
        <v>0</v>
      </c>
      <c r="D9" s="963"/>
      <c r="E9" s="963"/>
      <c r="F9" s="963"/>
      <c r="G9" s="963"/>
      <c r="H9" s="963"/>
      <c r="I9" s="963"/>
      <c r="K9" s="394" t="str">
        <f>LOOKUP(A9,DATOS!C24:C30,DATOS!M24:M30)</f>
        <v>la</v>
      </c>
    </row>
    <row r="10" spans="1:12" ht="19.149999999999999" customHeight="1">
      <c r="A10" s="962" t="s">
        <v>95</v>
      </c>
      <c r="B10" s="962"/>
      <c r="C10" s="963">
        <f>IF(A9=DATOS!C24,DATOS!E26,DATOS!E32)</f>
        <v>0</v>
      </c>
      <c r="D10" s="963"/>
      <c r="E10" s="963"/>
      <c r="F10" s="963"/>
      <c r="G10" s="963"/>
      <c r="H10" s="963"/>
      <c r="I10" s="963"/>
      <c r="K10" s="394"/>
    </row>
    <row r="11" spans="1:12" ht="19.149999999999999" customHeight="1">
      <c r="A11" s="962" t="s">
        <v>5</v>
      </c>
      <c r="B11" s="962"/>
      <c r="C11" s="963" t="str">
        <f>IF(DATOS!G28&gt;0,DATOS!G28,"N/A")</f>
        <v>N/A</v>
      </c>
      <c r="D11" s="963"/>
      <c r="E11" s="963"/>
      <c r="F11" s="963"/>
      <c r="G11" s="963"/>
      <c r="H11" s="963"/>
      <c r="I11" s="963"/>
      <c r="K11" s="394"/>
    </row>
    <row r="12" spans="1:12" ht="19.149999999999999" customHeight="1">
      <c r="A12" s="962" t="s">
        <v>107</v>
      </c>
      <c r="B12" s="962"/>
      <c r="C12" s="963">
        <f>DATOS!G16</f>
        <v>0</v>
      </c>
      <c r="D12" s="963"/>
      <c r="E12" s="963"/>
      <c r="F12" s="963"/>
      <c r="G12" s="963"/>
      <c r="H12" s="963"/>
      <c r="I12" s="963"/>
      <c r="K12" s="394" t="str">
        <f>DATOS!M16</f>
        <v>la</v>
      </c>
    </row>
    <row r="13" spans="1:12" ht="19.149999999999999" customHeight="1">
      <c r="A13" s="962" t="s">
        <v>95</v>
      </c>
      <c r="B13" s="962"/>
      <c r="C13" s="1163">
        <f>DATOS!E18</f>
        <v>0</v>
      </c>
      <c r="D13" s="963"/>
      <c r="E13" s="963"/>
      <c r="F13" s="963"/>
      <c r="G13" s="963"/>
      <c r="H13" s="963"/>
      <c r="I13" s="963"/>
      <c r="K13" s="394"/>
    </row>
    <row r="14" spans="1:12" ht="19.149999999999999" customHeight="1">
      <c r="A14" s="962" t="s">
        <v>5</v>
      </c>
      <c r="B14" s="962"/>
      <c r="C14" s="963" t="str">
        <f>IF(DATOS!G20&gt;0,DATOS!G20,"N/A")</f>
        <v>N/A</v>
      </c>
      <c r="D14" s="963"/>
      <c r="E14" s="963"/>
      <c r="F14" s="963"/>
      <c r="G14" s="963"/>
      <c r="H14" s="963"/>
      <c r="I14" s="963"/>
      <c r="K14" s="394" t="str">
        <f>DATOS!M20</f>
        <v>la</v>
      </c>
    </row>
    <row r="15" spans="1:12" ht="66.599999999999994" customHeight="1">
      <c r="A15" s="962" t="s">
        <v>8</v>
      </c>
      <c r="B15" s="962"/>
      <c r="C15" s="968">
        <f>DATOS!E38</f>
        <v>0</v>
      </c>
      <c r="D15" s="968"/>
      <c r="E15" s="968"/>
      <c r="F15" s="968"/>
      <c r="G15" s="968"/>
      <c r="H15" s="968"/>
      <c r="I15" s="968"/>
    </row>
    <row r="16" spans="1:12" ht="19.149999999999999" customHeight="1">
      <c r="A16" s="962" t="s">
        <v>12</v>
      </c>
      <c r="B16" s="962"/>
      <c r="C16" s="969">
        <f>DATOS!E46</f>
        <v>0</v>
      </c>
      <c r="D16" s="969"/>
      <c r="E16" s="969"/>
      <c r="F16" s="969"/>
      <c r="G16" s="969"/>
      <c r="H16" s="969"/>
      <c r="I16" s="969"/>
      <c r="L16" s="403" t="s">
        <v>394</v>
      </c>
    </row>
    <row r="17" spans="1:10" ht="19.149999999999999" customHeight="1">
      <c r="A17" s="1167" t="s">
        <v>391</v>
      </c>
      <c r="B17" s="1168"/>
      <c r="C17" s="1169">
        <f>IF(C18="","",DATOS!E174)</f>
        <v>42602</v>
      </c>
      <c r="D17" s="1170"/>
      <c r="E17" s="1170"/>
      <c r="F17" s="1170"/>
      <c r="G17" s="1170"/>
      <c r="H17" s="1170"/>
      <c r="I17" s="1171"/>
    </row>
    <row r="18" spans="1:10" ht="19.149999999999999" customHeight="1">
      <c r="A18" s="962" t="s">
        <v>278</v>
      </c>
      <c r="B18" s="962"/>
      <c r="C18" s="1172">
        <f>DATOS!E60</f>
        <v>30000000</v>
      </c>
      <c r="D18" s="1173"/>
      <c r="E18" s="1173"/>
      <c r="F18" s="1173"/>
      <c r="G18" s="1173"/>
      <c r="H18" s="1173"/>
      <c r="I18" s="1174"/>
    </row>
    <row r="19" spans="1:10" ht="19.149999999999999" customHeight="1">
      <c r="A19" s="1167" t="s">
        <v>392</v>
      </c>
      <c r="B19" s="1168"/>
      <c r="C19" s="1172">
        <f>IF(C20="","",DATOS!E176)</f>
        <v>0</v>
      </c>
      <c r="D19" s="1173"/>
      <c r="E19" s="1173"/>
      <c r="F19" s="1173"/>
      <c r="G19" s="1173"/>
      <c r="H19" s="1173"/>
      <c r="I19" s="1174"/>
    </row>
    <row r="20" spans="1:10" ht="19.149999999999999" customHeight="1">
      <c r="A20" s="962" t="s">
        <v>279</v>
      </c>
      <c r="B20" s="962"/>
      <c r="C20" s="1172">
        <f>DATOS!E62</f>
        <v>0</v>
      </c>
      <c r="D20" s="1173"/>
      <c r="E20" s="1173"/>
      <c r="F20" s="1173"/>
      <c r="G20" s="1173"/>
      <c r="H20" s="1173"/>
      <c r="I20" s="1174"/>
    </row>
    <row r="21" spans="1:10" ht="19.149999999999999" customHeight="1">
      <c r="A21" s="962" t="s">
        <v>11</v>
      </c>
      <c r="B21" s="962"/>
      <c r="C21" s="1175" t="str">
        <f>CONCATENATE(DATOS!E44,DATOS!F44,DATOS!G44)</f>
        <v xml:space="preserve"> </v>
      </c>
      <c r="D21" s="1176"/>
      <c r="E21" s="1176"/>
      <c r="F21" s="1176"/>
      <c r="G21" s="1176"/>
      <c r="H21" s="1176"/>
      <c r="I21" s="1177"/>
    </row>
    <row r="22" spans="1:10" ht="19.149999999999999" customHeight="1">
      <c r="A22" s="962" t="s">
        <v>388</v>
      </c>
      <c r="B22" s="962"/>
      <c r="C22" s="1169">
        <f>IF(C23="","",DATOS!E174)</f>
        <v>42602</v>
      </c>
      <c r="D22" s="1170"/>
      <c r="E22" s="1170"/>
      <c r="F22" s="1170"/>
      <c r="G22" s="1170"/>
      <c r="H22" s="1170"/>
      <c r="I22" s="1171"/>
    </row>
    <row r="23" spans="1:10" ht="19.149999999999999" customHeight="1">
      <c r="A23" s="962" t="s">
        <v>280</v>
      </c>
      <c r="B23" s="962"/>
      <c r="C23" s="1175" t="str">
        <f>IF(DATOS!E64&gt;0,CONCATENATE(DATOS!E64,DATOS!F64,DATOS!G64),0)</f>
        <v>5 MESES</v>
      </c>
      <c r="D23" s="1176"/>
      <c r="E23" s="1176"/>
      <c r="F23" s="1176"/>
      <c r="G23" s="1176"/>
      <c r="H23" s="1176"/>
      <c r="I23" s="1177"/>
    </row>
    <row r="24" spans="1:10" ht="19.149999999999999" customHeight="1">
      <c r="A24" s="1167" t="s">
        <v>389</v>
      </c>
      <c r="B24" s="1168"/>
      <c r="C24" s="1169">
        <f>IF(C20="","",DATOS!E176)</f>
        <v>0</v>
      </c>
      <c r="D24" s="1170"/>
      <c r="E24" s="1170"/>
      <c r="F24" s="1170"/>
      <c r="G24" s="1170"/>
      <c r="H24" s="1170"/>
      <c r="I24" s="1171"/>
    </row>
    <row r="25" spans="1:10" ht="19.149999999999999" customHeight="1">
      <c r="A25" s="962" t="s">
        <v>281</v>
      </c>
      <c r="B25" s="962"/>
      <c r="C25" s="1175">
        <f>IF(DATOS!E66&gt;0,CONCATENATE(DATOS!E66,DATOS!F66,DATOS!G66),0)</f>
        <v>0</v>
      </c>
      <c r="D25" s="1176"/>
      <c r="E25" s="1176"/>
      <c r="F25" s="1176"/>
      <c r="G25" s="1176"/>
      <c r="H25" s="1176"/>
      <c r="I25" s="1177"/>
    </row>
    <row r="26" spans="1:10" ht="19.149999999999999" customHeight="1">
      <c r="A26" s="1167" t="s">
        <v>390</v>
      </c>
      <c r="B26" s="1168"/>
      <c r="C26" s="1169">
        <f>IF(C27="","",DATOS!E178)</f>
        <v>0</v>
      </c>
      <c r="D26" s="1170"/>
      <c r="E26" s="1170"/>
      <c r="F26" s="1170"/>
      <c r="G26" s="1170"/>
      <c r="H26" s="1170"/>
      <c r="I26" s="1171"/>
    </row>
    <row r="27" spans="1:10" ht="19.149999999999999" customHeight="1">
      <c r="A27" s="962" t="s">
        <v>282</v>
      </c>
      <c r="B27" s="962"/>
      <c r="C27" s="1175">
        <f>IF(DATOS!E68&gt;0,CONCATENATE(DATOS!E68,DATOS!F68,DATOS!G68),0)</f>
        <v>0</v>
      </c>
      <c r="D27" s="1176"/>
      <c r="E27" s="1176"/>
      <c r="F27" s="1176"/>
      <c r="G27" s="1176"/>
      <c r="H27" s="1176"/>
      <c r="I27" s="1177"/>
    </row>
    <row r="28" spans="1:10" ht="27.6" customHeight="1">
      <c r="A28" s="53"/>
      <c r="B28" s="53"/>
      <c r="C28" s="53"/>
      <c r="D28" s="53"/>
      <c r="E28" s="53"/>
      <c r="F28" s="53"/>
      <c r="G28" s="53"/>
      <c r="H28" s="53"/>
      <c r="I28" s="53"/>
    </row>
    <row r="29" spans="1:10" ht="75" customHeight="1">
      <c r="A29" s="961" t="str">
        <f>IF(DATOS!E16="Persona Jurídica",IF(DATOS!E24="Persona Jurídica","En Popayán el día "&amp;IF((TEXT(DATOS!E74,"d"))="1",("Uno" &amp;" ("&amp;TEXT(DATOS!E74,"dd")&amp;") del mes de "&amp;TEXT(DATOS!E74,"mmmm")&amp;" de "&amp;TEXT(DATOS!E74,"yyyy")&amp;",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el reinicio del contrato en referencia."),LETRAS(TEXT(DATOS!E74,"d"))&amp;" ("&amp;TEXT(DATOS!E74,"dd")&amp;") del mes de "&amp;TEXT(DATOS!E74,"mmmm")&amp;" de "&amp;TEXT(DATOS!E74,"yyyy")&amp;",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el reinicio del contrato en referencia."),"En Popayán el día "&amp;IF((TEXT(DATOS!E74,"d"))="1",("Uno" &amp;" ("&amp;TEXT(DATOS!E74,"dd")&amp;") del mes de "&amp;TEXT(DATOS!E74,"mmmm")&amp;" de "&amp;TEXT(DATOS!E74,"yyyy")&amp;", se reunieron "&amp;DATOS!E40&amp;" en calidad de Gerente de Emcaservicios S.A. E.S.P.,"&amp;K9&amp;" "&amp;DATOS!E24&amp;" "&amp;C9&amp;", en calidad de "&amp;A9&amp;" del "&amp;DATOS!E10&amp;" No. "&amp;DATOS!E12&amp;" "&amp;DATOS!G12&amp;" "&amp;DATOS!I12&amp;", por una parte, y por la otra "&amp;K14&amp;" "&amp;DATOS!E20&amp;" "&amp;C14&amp;" Representante legal de "&amp;C12&amp;" en calidad de "&amp;A12&amp;", para acordar el reinicio del contrato en referencia."),LETRAS(TEXT(DATOS!E74,"d"))&amp;" ("&amp;TEXT(DATOS!E74,"dd")&amp;") del mes de "&amp;TEXT(DATOS!E74,"mmmm")&amp;" de "&amp;TEXT(DATOS!E74,"yyyy")&amp;", se reunieron "&amp;DATOS!E40&amp;" en calidad de Gerente de Emcaservicios S.A. E.S.P.,"&amp;K9&amp;" "&amp;DATOS!E24&amp;" "&amp;C9&amp;", en calidad de "&amp;A9&amp;" del "&amp;DATOS!E10&amp;" No. "&amp;DATOS!E12&amp;" "&amp;DATOS!G12&amp;" "&amp;DATOS!I12&amp;", por una parte, y por la otra "&amp;K14&amp;" "&amp;DATOS!E20&amp;" "&amp;C14&amp;" Representante legal de "&amp;C12&amp;" en calidad de "&amp;A12&amp;", para acordar el reinicio del contrato en referencia.")),IF(DATOS!E24="Persona Jurídica","En Popayán el día "&amp;IF((TEXT(DATOS!E74,"d"))="1",("Uno" &amp;" ("&amp;TEXT(DATOS!E74,"dd")&amp;") del mes de "&amp;TEXT(DATOS!E74,"mmmm")&amp;" de "&amp;TEXT(DATOS!E74,"yyyy")&amp;",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"&amp;K12&amp;" "&amp;DATOS!E16&amp;" "&amp;C12&amp;" en calidad de "&amp;A12&amp;", para acordar el reinicio del contrato en referencia."),LETRAS(TEXT(DATOS!E74,"d"))&amp;" ("&amp;TEXT(DATOS!E74,"dd")&amp;") del mes de "&amp;TEXT(DATOS!E74,"mmmm")&amp;" de "&amp;TEXT(DATOS!E74,"yyyy")&amp;", se reunieron "&amp;DATOS!E40&amp;" en calidad de Gerente de Emcaservicios S.A. E.S.P.,"&amp;DATOS!M28&amp;" "&amp;DATOS!E28&amp;" "&amp;DATOS!G28&amp;" Representante legal de "&amp;C9&amp;" en calidad de "&amp;A9&amp;" del "&amp;DATOS!E10&amp;" No. "&amp;DATOS!E12&amp;" "&amp;DATOS!G12&amp;" "&amp;DATOS!I12&amp;", por una parte, y por la otra "&amp;K12&amp;" "&amp;DATOS!E16&amp;" "&amp;C12&amp;" en calidad de "&amp;A12&amp;", para acordar el reinicio del contrato en referencia."),"En Popayán el día "&amp;IF((TEXT(DATOS!E74,"d"))="1",("Uno" &amp;" ("&amp;TEXT(DATOS!E74,"dd")&amp;") del mes de "&amp;TEXT(DATOS!E74,"mmmm")&amp;" de "&amp;TEXT(DATOS!E74,"yyyy")&amp;", se reunieron "&amp;DATOS!E40&amp;" en calidad de Gerente de Emcaservicios S.A. E.S.P.,"&amp;K9&amp;" "&amp;DATOS!E24&amp;" "&amp;C9&amp;", en calidad de "&amp;A9&amp;" del "&amp;DATOS!E10&amp;" No. "&amp;DATOS!E12&amp;" "&amp;DATOS!G12&amp;" "&amp;DATOS!I12&amp;", por una parte, y por la otra "&amp;K12&amp;" "&amp;DATOS!E16&amp;" "&amp;C12&amp;" en calidad de "&amp;A12&amp;", para acordar el reinicio del contrato en referencia."),LETRAS(TEXT(DATOS!E74,"d"))&amp;" ("&amp;TEXT(DATOS!E74,"dd")&amp;") del mes de "&amp;TEXT(DATOS!E74,"mmmm")&amp;" de "&amp;TEXT(DATOS!E74,"yyyy")&amp;", se reunieron "&amp;DATOS!E40&amp;" en calidad de Gerente de Emcaservicios S.A. E.S.P.,"&amp;K9&amp;" "&amp;DATOS!E24&amp;" "&amp;C9&amp;", en calidad de "&amp;A9&amp;" del "&amp;DATOS!E10&amp;" No. "&amp;DATOS!E12&amp;" "&amp;DATOS!G12&amp;" "&amp;DATOS!I12&amp;", por una parte, y por la otra "&amp;K12&amp;" "&amp;DATOS!E16&amp;" "&amp;C12&amp;" en calidad de "&amp;A12&amp;", para acordar el reinicio del contrato en referencia.")))</f>
        <v>En Popayán el día Treinta (30) del mes de March de 2016, se reunieron  en calidad de Gerente de Emcaservicios S.A. E.S.P.,la  0, en calidad de SUPERVISOR del  No.   , por una parte, y por la otra la  0 en calidad de CONTRATISTA, para acordar el reinicio del contrato en referencia.</v>
      </c>
      <c r="B29" s="961"/>
      <c r="C29" s="961"/>
      <c r="D29" s="961"/>
      <c r="E29" s="961"/>
      <c r="F29" s="961"/>
      <c r="G29" s="961"/>
      <c r="H29" s="961"/>
      <c r="I29" s="961"/>
      <c r="J29" s="50"/>
    </row>
    <row r="30" spans="1:10" ht="15">
      <c r="A30" s="467"/>
      <c r="B30" s="467"/>
      <c r="C30" s="467"/>
      <c r="D30" s="467"/>
      <c r="E30" s="467"/>
      <c r="F30" s="467"/>
      <c r="G30" s="467"/>
      <c r="H30" s="467"/>
      <c r="I30" s="467"/>
      <c r="J30" s="50"/>
    </row>
    <row r="31" spans="1:10" ht="15">
      <c r="A31" s="961" t="s">
        <v>336</v>
      </c>
      <c r="B31" s="961"/>
      <c r="C31" s="961"/>
      <c r="D31" s="961"/>
      <c r="E31" s="961"/>
      <c r="F31" s="961"/>
      <c r="G31" s="961"/>
      <c r="H31" s="961"/>
      <c r="I31" s="961"/>
      <c r="J31" s="50"/>
    </row>
    <row r="32" spans="1:10" ht="15">
      <c r="A32" s="467"/>
      <c r="B32" s="467"/>
      <c r="C32" s="467"/>
      <c r="D32" s="467"/>
      <c r="E32" s="467"/>
      <c r="F32" s="467"/>
      <c r="G32" s="467"/>
      <c r="H32" s="467"/>
      <c r="I32" s="467"/>
      <c r="J32" s="50"/>
    </row>
    <row r="33" spans="1:10" ht="27" customHeight="1">
      <c r="A33" s="1166" t="s">
        <v>335</v>
      </c>
      <c r="B33" s="961"/>
      <c r="C33" s="961"/>
      <c r="D33" s="961"/>
      <c r="E33" s="961"/>
      <c r="F33" s="961"/>
      <c r="G33" s="961"/>
      <c r="H33" s="961"/>
      <c r="I33" s="961"/>
      <c r="J33" s="50"/>
    </row>
    <row r="34" spans="1:10" ht="15">
      <c r="A34" s="467"/>
      <c r="B34" s="467"/>
      <c r="C34" s="467"/>
      <c r="D34" s="467"/>
      <c r="E34" s="467"/>
      <c r="F34" s="467"/>
      <c r="G34" s="467"/>
      <c r="H34" s="467"/>
      <c r="I34" s="467"/>
      <c r="J34" s="50"/>
    </row>
    <row r="35" spans="1:10" ht="15.75">
      <c r="A35" s="1165" t="s">
        <v>283</v>
      </c>
      <c r="B35" s="1165"/>
      <c r="C35" s="1165"/>
      <c r="D35" s="1165"/>
      <c r="E35" s="1165"/>
      <c r="F35" s="1165"/>
      <c r="G35" s="1165"/>
      <c r="H35" s="1165"/>
      <c r="I35" s="1165"/>
      <c r="J35" s="50"/>
    </row>
    <row r="36" spans="1:10" ht="15">
      <c r="A36" s="467"/>
      <c r="B36" s="467"/>
      <c r="C36" s="467"/>
      <c r="D36" s="467"/>
      <c r="E36" s="467"/>
      <c r="F36" s="467"/>
      <c r="G36" s="467"/>
      <c r="H36" s="467"/>
      <c r="I36" s="467"/>
      <c r="J36" s="50"/>
    </row>
    <row r="37" spans="1:10" ht="48.6" customHeight="1">
      <c r="A37" s="1178" t="s">
        <v>387</v>
      </c>
      <c r="B37" s="1178"/>
      <c r="C37" s="1178"/>
      <c r="D37" s="1178"/>
      <c r="E37" s="1178"/>
      <c r="F37" s="1178"/>
      <c r="G37" s="1178"/>
      <c r="H37" s="1178"/>
      <c r="I37" s="1178"/>
      <c r="J37" s="50"/>
    </row>
    <row r="38" spans="1:10" ht="15">
      <c r="A38" s="467"/>
      <c r="B38" s="467"/>
      <c r="C38" s="467"/>
      <c r="D38" s="467"/>
      <c r="E38" s="467"/>
      <c r="F38" s="467"/>
      <c r="G38" s="467"/>
      <c r="H38" s="467"/>
      <c r="I38" s="467"/>
      <c r="J38" s="50"/>
    </row>
    <row r="39" spans="1:10" ht="31.9" customHeight="1">
      <c r="A39" s="964" t="str">
        <f>"Para constancia de lo anterior, se firma en Popayán (Cauca) el día "&amp;IF((TEXT(DATOS!E74,"d"))="1",("Uno"&amp;" ("&amp;TEXT(DATOS!E74,"dd")&amp;") del mes de "&amp;TEXT(DATOS!E74,"mmmm")&amp;" de "&amp;LETRAS(TEXT(DATOS!E74,"YYYY"))&amp;" ("&amp;TEXT(DATOS!E74,"yyyy"))&amp;").",LETRAS(TEXT(DATOS!E74,"d"))&amp;" ("&amp;TEXT(DATOS!E74,"dd")&amp;") del mes de "&amp;TEXT(DATOS!E74,"mmmm")&amp;" de "&amp;LETRAS(TEXT(DATOS!E74,"YYYY"))&amp;" ("&amp;TEXT(DATOS!E74,"yyyy")&amp;").")</f>
        <v>Para constancia de lo anterior, se firma en Popayán (Cauca) el día Treinta (30) del mes de March de Dos Mil Dieciséis (2016).</v>
      </c>
      <c r="B39" s="964"/>
      <c r="C39" s="964"/>
      <c r="D39" s="964"/>
      <c r="E39" s="964"/>
      <c r="F39" s="964"/>
      <c r="G39" s="964"/>
      <c r="H39" s="964"/>
      <c r="I39" s="964"/>
    </row>
    <row r="40" spans="1:10" ht="15">
      <c r="A40" s="961"/>
      <c r="B40" s="961"/>
      <c r="C40" s="961"/>
      <c r="D40" s="961"/>
      <c r="E40" s="961"/>
      <c r="F40" s="961"/>
      <c r="G40" s="961"/>
      <c r="H40" s="961"/>
      <c r="I40" s="961"/>
      <c r="J40" s="50"/>
    </row>
    <row r="41" spans="1:10" ht="15">
      <c r="A41" s="53"/>
      <c r="B41" s="53"/>
      <c r="C41" s="53"/>
      <c r="D41" s="53"/>
      <c r="E41" s="53"/>
      <c r="F41" s="53"/>
      <c r="G41" s="53"/>
      <c r="H41" s="53"/>
      <c r="I41" s="53"/>
    </row>
    <row r="42" spans="1:10" ht="15">
      <c r="A42" s="53"/>
      <c r="B42" s="53"/>
      <c r="C42" s="53"/>
      <c r="D42" s="53"/>
      <c r="E42" s="53"/>
      <c r="F42" s="53"/>
      <c r="G42" s="53"/>
      <c r="H42" s="53"/>
      <c r="I42" s="53"/>
    </row>
    <row r="43" spans="1:10" ht="15">
      <c r="A43" s="53"/>
      <c r="B43" s="53"/>
      <c r="C43" s="53"/>
      <c r="D43" s="53"/>
      <c r="E43" s="53"/>
      <c r="F43" s="53"/>
      <c r="G43" s="53"/>
      <c r="H43" s="53"/>
      <c r="I43" s="53"/>
    </row>
    <row r="44" spans="1:10" ht="15">
      <c r="A44" s="53"/>
      <c r="B44" s="53"/>
      <c r="C44" s="53"/>
      <c r="D44" s="53"/>
      <c r="E44" s="53"/>
      <c r="F44" s="53"/>
      <c r="G44" s="53"/>
      <c r="H44" s="53"/>
      <c r="I44" s="53"/>
    </row>
    <row r="45" spans="1:10" ht="15.75">
      <c r="A45" s="53"/>
      <c r="B45" s="471">
        <f>IF(DATOS!E16="Persona Jurídica",DATOS!G20,DATOS!G16)</f>
        <v>0</v>
      </c>
      <c r="C45" s="53"/>
      <c r="D45" s="53"/>
      <c r="E45" s="53"/>
      <c r="F45" s="471">
        <f>IF(DATOS!E10="CONTRATO DE OBRA",IF(DATOS!E24="Persona Jurídica",DATOS!G28,DATOS!G24),DATOS!G30)</f>
        <v>0</v>
      </c>
      <c r="G45" s="53"/>
      <c r="H45" s="53"/>
      <c r="I45" s="53"/>
    </row>
    <row r="46" spans="1:10" ht="15">
      <c r="A46" s="53"/>
      <c r="B46" s="472" t="str">
        <f>IF(DATOS!E16="Persona Jurídica",DATOS!G16,"Contratista")</f>
        <v>Contratista</v>
      </c>
      <c r="C46" s="53"/>
      <c r="D46" s="53"/>
      <c r="E46" s="53"/>
      <c r="F46" s="472" t="str">
        <f>IF(DATOS!E24="Persona Jurídica",DATOS!G24,"Interventor")</f>
        <v>Interventor</v>
      </c>
      <c r="G46" s="53"/>
      <c r="H46" s="53"/>
      <c r="I46" s="53"/>
    </row>
    <row r="47" spans="1:10" ht="15">
      <c r="A47" s="53"/>
      <c r="B47" s="472" t="str">
        <f>IF(DATOS!E16="Persona jurídica","Contratista"," ")</f>
        <v xml:space="preserve"> </v>
      </c>
      <c r="C47" s="53"/>
      <c r="D47" s="53"/>
      <c r="E47" s="53"/>
      <c r="F47" s="472" t="str">
        <f>IF(DATOS!E24="Persona jurídica","Interventor"," ")</f>
        <v xml:space="preserve"> </v>
      </c>
      <c r="G47" s="53"/>
      <c r="H47" s="53"/>
      <c r="I47" s="53"/>
    </row>
    <row r="48" spans="1:10" ht="15">
      <c r="A48" s="53"/>
      <c r="B48" s="472"/>
      <c r="C48" s="53"/>
      <c r="D48" s="53"/>
      <c r="E48" s="53"/>
      <c r="F48" s="472"/>
      <c r="G48" s="53"/>
      <c r="H48" s="53"/>
      <c r="I48" s="53"/>
    </row>
    <row r="49" spans="1:10" ht="15">
      <c r="A49" s="53"/>
      <c r="B49" s="472"/>
      <c r="C49" s="53"/>
      <c r="D49" s="53"/>
      <c r="E49" s="53"/>
      <c r="F49" s="472"/>
      <c r="G49" s="53"/>
      <c r="H49" s="53"/>
      <c r="I49" s="53"/>
    </row>
    <row r="50" spans="1:10" ht="15">
      <c r="A50" s="53"/>
      <c r="B50" s="472"/>
      <c r="C50" s="53"/>
      <c r="D50" s="53"/>
      <c r="E50" s="53"/>
      <c r="F50" s="472"/>
      <c r="G50" s="53"/>
      <c r="H50" s="53"/>
      <c r="I50" s="53"/>
    </row>
    <row r="51" spans="1:10" ht="15">
      <c r="A51" s="53"/>
      <c r="B51" s="472"/>
      <c r="C51" s="53"/>
      <c r="D51" s="53"/>
      <c r="E51" s="53"/>
      <c r="F51" s="472"/>
      <c r="G51" s="53"/>
      <c r="H51" s="53"/>
      <c r="I51" s="53"/>
    </row>
    <row r="52" spans="1:10" ht="15">
      <c r="A52" s="53"/>
      <c r="B52" s="472"/>
      <c r="C52" s="53"/>
      <c r="D52" s="53"/>
      <c r="E52" s="53"/>
      <c r="F52" s="472"/>
      <c r="G52" s="53"/>
      <c r="H52" s="53"/>
      <c r="I52" s="53"/>
    </row>
    <row r="53" spans="1:10" ht="15.75">
      <c r="A53" s="1273">
        <f>DATOS!E40</f>
        <v>0</v>
      </c>
      <c r="B53" s="1273"/>
      <c r="C53" s="1273"/>
      <c r="D53" s="1273"/>
      <c r="E53" s="1273"/>
      <c r="F53" s="1273"/>
      <c r="G53" s="1273"/>
      <c r="H53" s="1273"/>
      <c r="I53" s="1273"/>
    </row>
    <row r="54" spans="1:10" ht="15.6" customHeight="1">
      <c r="A54" s="1272" t="s">
        <v>331</v>
      </c>
      <c r="B54" s="1272"/>
      <c r="C54" s="1272"/>
      <c r="D54" s="1272"/>
      <c r="E54" s="1272"/>
      <c r="F54" s="1272"/>
      <c r="G54" s="1272"/>
      <c r="H54" s="1272"/>
      <c r="I54" s="1272"/>
    </row>
    <row r="55" spans="1:10" ht="15">
      <c r="A55" s="53"/>
      <c r="B55" s="472"/>
      <c r="C55" s="53"/>
      <c r="D55" s="53"/>
      <c r="E55" s="53"/>
      <c r="F55" s="472"/>
      <c r="G55" s="53"/>
      <c r="H55" s="53"/>
      <c r="I55" s="53"/>
    </row>
    <row r="56" spans="1:10" ht="15">
      <c r="A56" s="53"/>
      <c r="B56" s="53"/>
      <c r="C56" s="53"/>
      <c r="D56" s="53"/>
      <c r="E56" s="53"/>
      <c r="F56" s="53"/>
      <c r="G56" s="53"/>
      <c r="H56" s="53"/>
      <c r="I56" s="53"/>
      <c r="J56" s="50"/>
    </row>
  </sheetData>
  <mergeCells count="64">
    <mergeCell ref="A1:A3"/>
    <mergeCell ref="B1:E2"/>
    <mergeCell ref="F1:G1"/>
    <mergeCell ref="H1:I1"/>
    <mergeCell ref="F2:G2"/>
    <mergeCell ref="H2:I2"/>
    <mergeCell ref="B3:E3"/>
    <mergeCell ref="F3:G3"/>
    <mergeCell ref="H3:I3"/>
    <mergeCell ref="A4:I4"/>
    <mergeCell ref="A6:B6"/>
    <mergeCell ref="E6:F6"/>
    <mergeCell ref="G6:H6"/>
    <mergeCell ref="A7:B7"/>
    <mergeCell ref="C7:I7"/>
    <mergeCell ref="A8:B8"/>
    <mergeCell ref="C8:I8"/>
    <mergeCell ref="A9:B9"/>
    <mergeCell ref="C9:I9"/>
    <mergeCell ref="A10:B10"/>
    <mergeCell ref="C10:I10"/>
    <mergeCell ref="A11:B11"/>
    <mergeCell ref="C11:I11"/>
    <mergeCell ref="A12:B12"/>
    <mergeCell ref="C12:I12"/>
    <mergeCell ref="A13:B13"/>
    <mergeCell ref="C13:I13"/>
    <mergeCell ref="A14:B14"/>
    <mergeCell ref="C14:I14"/>
    <mergeCell ref="A15:B15"/>
    <mergeCell ref="C15:I15"/>
    <mergeCell ref="A16:B16"/>
    <mergeCell ref="C16:I16"/>
    <mergeCell ref="A17:B17"/>
    <mergeCell ref="C17:I17"/>
    <mergeCell ref="A18:B18"/>
    <mergeCell ref="C18:I18"/>
    <mergeCell ref="A19:B19"/>
    <mergeCell ref="C19:I19"/>
    <mergeCell ref="A20:B20"/>
    <mergeCell ref="C20:I20"/>
    <mergeCell ref="A21:B21"/>
    <mergeCell ref="C21:I21"/>
    <mergeCell ref="A22:B22"/>
    <mergeCell ref="C22:I22"/>
    <mergeCell ref="A31:I31"/>
    <mergeCell ref="A23:B23"/>
    <mergeCell ref="C23:I23"/>
    <mergeCell ref="A24:B24"/>
    <mergeCell ref="C24:I24"/>
    <mergeCell ref="A25:B25"/>
    <mergeCell ref="C25:I25"/>
    <mergeCell ref="A26:B26"/>
    <mergeCell ref="C26:I26"/>
    <mergeCell ref="A27:B27"/>
    <mergeCell ref="C27:I27"/>
    <mergeCell ref="A29:I29"/>
    <mergeCell ref="A54:I54"/>
    <mergeCell ref="A33:I33"/>
    <mergeCell ref="A35:I35"/>
    <mergeCell ref="A37:I37"/>
    <mergeCell ref="A39:I39"/>
    <mergeCell ref="A40:I40"/>
    <mergeCell ref="A53:I53"/>
  </mergeCells>
  <conditionalFormatting sqref="C18:I18">
    <cfRule type="expression" dxfId="40" priority="6">
      <formula>$C$18&lt;=0</formula>
    </cfRule>
  </conditionalFormatting>
  <conditionalFormatting sqref="C20:I20">
    <cfRule type="expression" dxfId="39" priority="5">
      <formula>$C$20&lt;=0</formula>
    </cfRule>
  </conditionalFormatting>
  <conditionalFormatting sqref="C23:I23">
    <cfRule type="expression" dxfId="38" priority="4">
      <formula>$C$23&lt;=0</formula>
    </cfRule>
  </conditionalFormatting>
  <conditionalFormatting sqref="C27:I27">
    <cfRule type="expression" dxfId="37" priority="3">
      <formula>$C$27&lt;=0</formula>
    </cfRule>
  </conditionalFormatting>
  <conditionalFormatting sqref="C25:I25">
    <cfRule type="expression" dxfId="36" priority="2">
      <formula>$C$25&lt;=0</formula>
    </cfRule>
  </conditionalFormatting>
  <conditionalFormatting sqref="C19:I19">
    <cfRule type="expression" dxfId="35" priority="1">
      <formula>$C$20&lt;=0</formula>
    </cfRule>
  </conditionalFormatting>
  <printOptions horizontalCentered="1"/>
  <pageMargins left="0.78740157480314965" right="0.39370078740157483" top="0.59055118110236227" bottom="1.3779527559055118" header="0.31496062992125984" footer="0.11811023622047245"/>
  <pageSetup scale="82" orientation="portrait" r:id="rId1"/>
  <headerFooter>
    <oddFooter xml:space="preserve">&amp;L&amp;G&amp;R&amp;"-,Cursiva"&amp;9Página &amp;P de &amp;N
&amp;G&amp;"-,Normal"&amp;11
</oddFooter>
  </headerFooter>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K49"/>
  <sheetViews>
    <sheetView zoomScaleNormal="100" zoomScaleSheetLayoutView="90" workbookViewId="0">
      <selection activeCell="C11" sqref="C11:I11"/>
    </sheetView>
  </sheetViews>
  <sheetFormatPr baseColWidth="10" defaultColWidth="11.5703125" defaultRowHeight="14.25"/>
  <cols>
    <col min="1" max="1" width="22.85546875" style="42" customWidth="1"/>
    <col min="2" max="2" width="8.7109375" style="42" customWidth="1"/>
    <col min="3" max="3" width="37.42578125" style="42" customWidth="1"/>
    <col min="4" max="4" width="7.28515625" style="42" customWidth="1"/>
    <col min="5" max="5" width="2.28515625" style="42" customWidth="1"/>
    <col min="6" max="6" width="8.5703125" style="42" customWidth="1"/>
    <col min="7" max="7" width="6.28515625" style="42" customWidth="1"/>
    <col min="8" max="8" width="4.28515625" style="42" customWidth="1"/>
    <col min="9" max="9" width="11.7109375" style="42" customWidth="1"/>
    <col min="10" max="10" width="11.5703125" style="42" customWidth="1"/>
    <col min="11" max="11" width="0" style="42" hidden="1" customWidth="1"/>
    <col min="12" max="16384" width="11.5703125" style="42"/>
  </cols>
  <sheetData>
    <row r="1" spans="1:11" ht="24.6" customHeight="1">
      <c r="A1" s="972"/>
      <c r="B1" s="973" t="s">
        <v>276</v>
      </c>
      <c r="C1" s="973"/>
      <c r="D1" s="973"/>
      <c r="E1" s="973"/>
      <c r="F1" s="975" t="s">
        <v>90</v>
      </c>
      <c r="G1" s="975"/>
      <c r="H1" s="970" t="s">
        <v>84</v>
      </c>
      <c r="I1" s="970"/>
      <c r="J1" s="41"/>
    </row>
    <row r="2" spans="1:11" ht="24.6" customHeight="1">
      <c r="A2" s="972"/>
      <c r="B2" s="973"/>
      <c r="C2" s="973"/>
      <c r="D2" s="973"/>
      <c r="E2" s="973"/>
      <c r="F2" s="975" t="s">
        <v>89</v>
      </c>
      <c r="G2" s="975"/>
      <c r="H2" s="970">
        <v>1</v>
      </c>
      <c r="I2" s="970"/>
      <c r="J2" s="41"/>
    </row>
    <row r="3" spans="1:11" ht="24.6" customHeight="1">
      <c r="A3" s="972"/>
      <c r="B3" s="970" t="s">
        <v>93</v>
      </c>
      <c r="C3" s="970"/>
      <c r="D3" s="970"/>
      <c r="E3" s="970"/>
      <c r="F3" s="1160" t="s">
        <v>88</v>
      </c>
      <c r="G3" s="1161"/>
      <c r="H3" s="970"/>
      <c r="I3" s="970"/>
      <c r="J3" s="41"/>
    </row>
    <row r="4" spans="1:11" ht="34.9" customHeight="1">
      <c r="A4" s="1019" t="s">
        <v>288</v>
      </c>
      <c r="B4" s="1162"/>
      <c r="C4" s="1162"/>
      <c r="D4" s="1162"/>
      <c r="E4" s="1162"/>
      <c r="F4" s="1162"/>
      <c r="G4" s="1162"/>
      <c r="H4" s="1162"/>
      <c r="I4" s="1162"/>
      <c r="J4" s="41"/>
    </row>
    <row r="5" spans="1:11" ht="3" customHeight="1">
      <c r="A5" s="135"/>
      <c r="B5" s="138"/>
      <c r="C5" s="138"/>
      <c r="D5" s="138"/>
      <c r="E5" s="138"/>
      <c r="F5" s="138"/>
      <c r="G5" s="138"/>
      <c r="H5" s="138"/>
      <c r="I5" s="138"/>
      <c r="J5" s="41"/>
    </row>
    <row r="6" spans="1:11" ht="19.149999999999999" customHeight="1">
      <c r="A6" s="962" t="s">
        <v>1</v>
      </c>
      <c r="B6" s="962"/>
      <c r="C6" s="51">
        <f>DATOS!$E$10</f>
        <v>0</v>
      </c>
      <c r="D6" s="181" t="s">
        <v>92</v>
      </c>
      <c r="E6" s="974">
        <f>DATOS!E12</f>
        <v>0</v>
      </c>
      <c r="F6" s="974"/>
      <c r="G6" s="962" t="s">
        <v>86</v>
      </c>
      <c r="H6" s="962"/>
      <c r="I6" s="136">
        <f>DATOS!I12</f>
        <v>0</v>
      </c>
      <c r="J6" s="41"/>
    </row>
    <row r="7" spans="1:11" ht="19.149999999999999" customHeight="1">
      <c r="A7" s="962" t="s">
        <v>94</v>
      </c>
      <c r="B7" s="962"/>
      <c r="C7" s="963" t="s">
        <v>101</v>
      </c>
      <c r="D7" s="963"/>
      <c r="E7" s="963"/>
      <c r="F7" s="963"/>
      <c r="G7" s="963"/>
      <c r="H7" s="963"/>
      <c r="I7" s="963"/>
      <c r="J7" s="41"/>
    </row>
    <row r="8" spans="1:11" ht="19.149999999999999" customHeight="1">
      <c r="A8" s="962" t="s">
        <v>95</v>
      </c>
      <c r="B8" s="962"/>
      <c r="C8" s="963" t="s">
        <v>102</v>
      </c>
      <c r="D8" s="963"/>
      <c r="E8" s="963"/>
      <c r="F8" s="963"/>
      <c r="G8" s="963"/>
      <c r="H8" s="963"/>
      <c r="I8" s="963"/>
      <c r="J8" s="41"/>
    </row>
    <row r="9" spans="1:11" ht="19.149999999999999" customHeight="1">
      <c r="A9" s="962" t="str">
        <f>IF('SUSP 4'!C6="CONTRATO DE OBRA",("INTERVENTOR"),("SUPERVISOR"))</f>
        <v>SUPERVISOR</v>
      </c>
      <c r="B9" s="962"/>
      <c r="C9" s="963">
        <f>LOOKUP(A9,DATOS!C24:C30,DATOS!G24:G30)</f>
        <v>0</v>
      </c>
      <c r="D9" s="963"/>
      <c r="E9" s="963"/>
      <c r="F9" s="963"/>
      <c r="G9" s="963"/>
      <c r="H9" s="963"/>
      <c r="I9" s="963"/>
      <c r="K9" s="394" t="str">
        <f>LOOKUP(A9,DATOS!C24:C30,DATOS!M24:M30)</f>
        <v>la</v>
      </c>
    </row>
    <row r="10" spans="1:11" ht="19.149999999999999" customHeight="1">
      <c r="A10" s="962" t="s">
        <v>95</v>
      </c>
      <c r="B10" s="962"/>
      <c r="C10" s="963">
        <f>IF(A9=DATOS!C24,DATOS!E26,DATOS!E32)</f>
        <v>0</v>
      </c>
      <c r="D10" s="963"/>
      <c r="E10" s="963"/>
      <c r="F10" s="963"/>
      <c r="G10" s="963"/>
      <c r="H10" s="963"/>
      <c r="I10" s="963"/>
      <c r="K10" s="394"/>
    </row>
    <row r="11" spans="1:11" ht="19.149999999999999" customHeight="1">
      <c r="A11" s="962" t="s">
        <v>5</v>
      </c>
      <c r="B11" s="962"/>
      <c r="C11" s="963" t="str">
        <f>IF(DATOS!G28&gt;0,DATOS!G28,"N/A")</f>
        <v>N/A</v>
      </c>
      <c r="D11" s="963"/>
      <c r="E11" s="963"/>
      <c r="F11" s="963"/>
      <c r="G11" s="963"/>
      <c r="H11" s="963"/>
      <c r="I11" s="963"/>
      <c r="K11" s="394"/>
    </row>
    <row r="12" spans="1:11" ht="19.149999999999999" customHeight="1">
      <c r="A12" s="962" t="s">
        <v>107</v>
      </c>
      <c r="B12" s="962"/>
      <c r="C12" s="963">
        <f>DATOS!G16</f>
        <v>0</v>
      </c>
      <c r="D12" s="963"/>
      <c r="E12" s="963"/>
      <c r="F12" s="963"/>
      <c r="G12" s="963"/>
      <c r="H12" s="963"/>
      <c r="I12" s="963"/>
      <c r="K12" s="394" t="str">
        <f>DATOS!M16</f>
        <v>la</v>
      </c>
    </row>
    <row r="13" spans="1:11" ht="19.149999999999999" customHeight="1">
      <c r="A13" s="962" t="s">
        <v>95</v>
      </c>
      <c r="B13" s="962"/>
      <c r="C13" s="1163">
        <f>DATOS!E18</f>
        <v>0</v>
      </c>
      <c r="D13" s="963"/>
      <c r="E13" s="963"/>
      <c r="F13" s="963"/>
      <c r="G13" s="963"/>
      <c r="H13" s="963"/>
      <c r="I13" s="963"/>
      <c r="K13" s="394"/>
    </row>
    <row r="14" spans="1:11" ht="19.149999999999999" customHeight="1">
      <c r="A14" s="962" t="s">
        <v>5</v>
      </c>
      <c r="B14" s="962"/>
      <c r="C14" s="963" t="str">
        <f>IF(DATOS!G20&gt;0,DATOS!G20,"N/A")</f>
        <v>N/A</v>
      </c>
      <c r="D14" s="963"/>
      <c r="E14" s="963"/>
      <c r="F14" s="963"/>
      <c r="G14" s="963"/>
      <c r="H14" s="963"/>
      <c r="I14" s="963"/>
      <c r="K14" s="394" t="str">
        <f>DATOS!M20</f>
        <v>la</v>
      </c>
    </row>
    <row r="15" spans="1:11" ht="66.599999999999994" customHeight="1">
      <c r="A15" s="962" t="s">
        <v>8</v>
      </c>
      <c r="B15" s="962"/>
      <c r="C15" s="968">
        <f>DATOS!E38</f>
        <v>0</v>
      </c>
      <c r="D15" s="968"/>
      <c r="E15" s="968"/>
      <c r="F15" s="968"/>
      <c r="G15" s="968"/>
      <c r="H15" s="968"/>
      <c r="I15" s="968"/>
    </row>
    <row r="16" spans="1:11" ht="19.149999999999999" customHeight="1">
      <c r="A16" s="962" t="s">
        <v>12</v>
      </c>
      <c r="B16" s="962"/>
      <c r="C16" s="969">
        <f>DATOS!E46</f>
        <v>0</v>
      </c>
      <c r="D16" s="969"/>
      <c r="E16" s="969"/>
      <c r="F16" s="969"/>
      <c r="G16" s="969"/>
      <c r="H16" s="969"/>
      <c r="I16" s="969"/>
    </row>
    <row r="17" spans="1:10" ht="19.149999999999999" customHeight="1">
      <c r="A17" s="962" t="s">
        <v>278</v>
      </c>
      <c r="B17" s="962"/>
      <c r="C17" s="969">
        <f>DATOS!E60</f>
        <v>30000000</v>
      </c>
      <c r="D17" s="969"/>
      <c r="E17" s="969"/>
      <c r="F17" s="969"/>
      <c r="G17" s="969"/>
      <c r="H17" s="969"/>
      <c r="I17" s="969"/>
    </row>
    <row r="18" spans="1:10" ht="19.149999999999999" customHeight="1">
      <c r="A18" s="962" t="s">
        <v>279</v>
      </c>
      <c r="B18" s="962"/>
      <c r="C18" s="969">
        <f>DATOS!E62</f>
        <v>0</v>
      </c>
      <c r="D18" s="969"/>
      <c r="E18" s="969"/>
      <c r="F18" s="969"/>
      <c r="G18" s="969"/>
      <c r="H18" s="969"/>
      <c r="I18" s="969"/>
    </row>
    <row r="19" spans="1:10" ht="19.149999999999999" customHeight="1">
      <c r="A19" s="962" t="s">
        <v>11</v>
      </c>
      <c r="B19" s="962"/>
      <c r="C19" s="963" t="str">
        <f>CONCATENATE(DATOS!E44,DATOS!F44,DATOS!G44)</f>
        <v xml:space="preserve"> </v>
      </c>
      <c r="D19" s="963"/>
      <c r="E19" s="963"/>
      <c r="F19" s="963"/>
      <c r="G19" s="963"/>
      <c r="H19" s="963"/>
      <c r="I19" s="963"/>
    </row>
    <row r="20" spans="1:10" ht="19.149999999999999" customHeight="1">
      <c r="A20" s="962" t="s">
        <v>280</v>
      </c>
      <c r="B20" s="962"/>
      <c r="C20" s="963" t="str">
        <f>IF(DATOS!E64&gt;0,CONCATENATE(DATOS!E64,DATOS!F64,DATOS!G64),0)</f>
        <v>5 MESES</v>
      </c>
      <c r="D20" s="963"/>
      <c r="E20" s="963"/>
      <c r="F20" s="963"/>
      <c r="G20" s="963"/>
      <c r="H20" s="963"/>
      <c r="I20" s="963"/>
    </row>
    <row r="21" spans="1:10" ht="19.149999999999999" customHeight="1">
      <c r="A21" s="962" t="s">
        <v>281</v>
      </c>
      <c r="B21" s="962"/>
      <c r="C21" s="963">
        <f>IF(DATOS!E66&gt;0,CONCATENATE(DATOS!E66,DATOS!F66,DATOS!G66),0)</f>
        <v>0</v>
      </c>
      <c r="D21" s="963"/>
      <c r="E21" s="963"/>
      <c r="F21" s="963"/>
      <c r="G21" s="963"/>
      <c r="H21" s="963"/>
      <c r="I21" s="963"/>
    </row>
    <row r="22" spans="1:10" ht="19.149999999999999" customHeight="1">
      <c r="A22" s="962" t="s">
        <v>282</v>
      </c>
      <c r="B22" s="962"/>
      <c r="C22" s="963">
        <f>IF(DATOS!E68&gt;0,CONCATENATE(DATOS!E68,DATOS!F68,DATOS!G68),0)</f>
        <v>0</v>
      </c>
      <c r="D22" s="963"/>
      <c r="E22" s="963"/>
      <c r="F22" s="963"/>
      <c r="G22" s="963"/>
      <c r="H22" s="963"/>
      <c r="I22" s="963"/>
    </row>
    <row r="23" spans="1:10" ht="27.6" customHeight="1">
      <c r="A23" s="53"/>
      <c r="B23" s="53"/>
      <c r="C23" s="53"/>
      <c r="D23" s="53"/>
      <c r="E23" s="53"/>
      <c r="F23" s="53"/>
      <c r="G23" s="53"/>
      <c r="H23" s="53"/>
      <c r="I23" s="53"/>
    </row>
    <row r="24" spans="1:10" ht="78.599999999999994" customHeight="1">
      <c r="A24" s="961" t="str">
        <f>IF(DATOS!E16="Persona Jurídica",IF(DATOS!E24="Persona Jurídica","En Popayán el día "&amp;IF((TEXT(DATOS!E90,"d"))="1",("Uno" &amp;" ("&amp;TEXT(DATOS!E90,"dd")&amp;") del mes de "&amp;TEXT(DATOS!E90,"mmmm")&amp;" de "&amp;TEXT(DATOS!E90,"yyyy")&amp;", se reunieron "&amp;DATOS!M28&amp;"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referencia."),LETRAS(TEXT(DATOS!E90,"d"))&amp;" ("&amp;TEXT(DATOS!E90,"dd")&amp;") del mes de "&amp;TEXT(DATOS!E90,"mmmm")&amp;" de "&amp;TEXT(DATOS!E90,"yyyy")&amp;", se reunieron "&amp;DATOS!M28&amp;"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referencia."),"En Popayán el día "&amp;IF((TEXT(DATOS!E90,"d"))="1",("Uno" &amp;" ("&amp;TEXT(DATOS!E90,"dd")&amp;") del mes de "&amp;TEXT(DATOS!E90,"mmmm")&amp;" de "&amp;TEXT(DATOS!E90,"yyyy")&amp;", se reunieron "&amp;K9&amp;"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referencia."),LETRAS(TEXT(DATOS!E90,"d"))&amp;" ("&amp;TEXT(DATOS!E90,"dd")&amp;") del mes de "&amp;TEXT(DATOS!E90,"mmmm")&amp;" de "&amp;TEXT(DATOS!E90,"yyyy")&amp;", se reunieron "&amp;K9&amp;"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referencia.")),IF(DATOS!E24="Persona Jurídica","En Popayán el día "&amp;IF((TEXT(DATOS!E90,"d"))="1",("Uno" &amp;" ("&amp;TEXT(DATOS!E90,"dd")&amp;") del mes de "&amp;TEXT(DATOS!E90,"mmmm")&amp;" de "&amp;TEXT(DATOS!E90,"yyyy")&amp;", se reunieron "&amp;DATOS!M28&amp;"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referencia."),LETRAS(TEXT(DATOS!E90,"d"))&amp;" ("&amp;TEXT(DATOS!E90,"dd")&amp;") del mes de "&amp;TEXT(DATOS!E90,"mmmm")&amp;" de "&amp;TEXT(DATOS!E90,"yyyy")&amp;", se reunieron "&amp;DATOS!M28&amp;"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referencia."),"En Popayán el día "&amp;IF((TEXT(DATOS!E90,"d"))="1",("Uno" &amp;" ("&amp;TEXT(DATOS!E90,"dd")&amp;") del mes de "&amp;TEXT(DATOS!E90,"mmmm")&amp;" de "&amp;TEXT(DATOS!E90,"yyyy")&amp;", se reunieron "&amp;K9&amp;" "&amp;DATOS!E24&amp;" "&amp;C9&amp;", en calidad de "&amp;A9&amp;" del "&amp;DATOS!E10&amp;" No. "&amp;DATOS!E12&amp;" "&amp;DATOS!G12&amp;" "&amp;DATOS!I12&amp;", por una parte, y por la otra "&amp;K12&amp;" "&amp;DATOS!E16&amp;" "&amp;C12&amp;" en calidad de "&amp;A12&amp;", para acordar la suspensión del contrato en referencia."),LETRAS(TEXT(DATOS!E90,"d"))&amp;" ("&amp;TEXT(DATOS!E90,"dd")&amp;") del mes de "&amp;TEXT(DATOS!E90,"mmmm")&amp;" de "&amp;TEXT(DATOS!E90,"yyyy")&amp;", se reunieron "&amp;K9&amp;" "&amp;DATOS!E24&amp;" "&amp;C9&amp;", en calidad de "&amp;A9&amp;" del "&amp;DATOS!E10&amp;" No. "&amp;DATOS!E12&amp;" "&amp;DATOS!G12&amp;" "&amp;DATOS!I12&amp;", por una parte, y por la otra "&amp;K12&amp;" "&amp;DATOS!E16&amp;" "&amp;C12&amp;" en calidad de "&amp;A12&amp;", para acordar la suspensión del contrato en referencia.")))</f>
        <v>En Popayán el día Cero (00) del mes de January de 1900, se reunieron la  0, en calidad de SUPERVISOR del  No.   , por una parte, y por la otra la  0 en calidad de CONTRATISTA, para acordar la suspensión del contrato en referencia.</v>
      </c>
      <c r="B24" s="961"/>
      <c r="C24" s="961"/>
      <c r="D24" s="961"/>
      <c r="E24" s="961"/>
      <c r="F24" s="961"/>
      <c r="G24" s="961"/>
      <c r="H24" s="961"/>
      <c r="I24" s="961"/>
      <c r="J24" s="50"/>
    </row>
    <row r="25" spans="1:10" ht="15.75">
      <c r="A25" s="1165" t="s">
        <v>283</v>
      </c>
      <c r="B25" s="1165"/>
      <c r="C25" s="1165"/>
      <c r="D25" s="1165"/>
      <c r="E25" s="1165"/>
      <c r="F25" s="1165"/>
      <c r="G25" s="1165"/>
      <c r="H25" s="1165"/>
      <c r="I25" s="1165"/>
      <c r="J25" s="50"/>
    </row>
    <row r="26" spans="1:10" ht="15">
      <c r="A26" s="137"/>
      <c r="B26" s="137"/>
      <c r="C26" s="137"/>
      <c r="D26" s="137"/>
      <c r="E26" s="137"/>
      <c r="F26" s="137"/>
      <c r="G26" s="137"/>
      <c r="H26" s="137"/>
      <c r="I26" s="137"/>
      <c r="J26" s="50"/>
    </row>
    <row r="27" spans="1:10" ht="72.599999999999994" customHeight="1">
      <c r="A27" s="961" t="str">
        <f>"PRIMERO. - De común acuerdo suspender temporalmente el "&amp;DATOS!E10&amp;" No. "&amp;DATOS!E12&amp;" "&amp;DATOS!G12&amp;" "&amp;DATOS!I12&amp;", cuyo objeto es "&amp;DATOS!E38&amp;", teniendo en cuenta las siguientes consideraciones que han impedido la ejecución del mencionado contrato:"</f>
        <v>PRIMERO. - De común acuerdo suspender temporalmente el  No.   , cuyo objeto es , teniendo en cuenta las siguientes consideraciones que han impedido la ejecución del mencionado contrato:</v>
      </c>
      <c r="B27" s="961"/>
      <c r="C27" s="961"/>
      <c r="D27" s="961"/>
      <c r="E27" s="961"/>
      <c r="F27" s="961"/>
      <c r="G27" s="961"/>
      <c r="H27" s="961"/>
      <c r="I27" s="961"/>
      <c r="J27" s="50"/>
    </row>
    <row r="28" spans="1:10" ht="15">
      <c r="A28" s="1166" t="s">
        <v>335</v>
      </c>
      <c r="B28" s="961"/>
      <c r="C28" s="961"/>
      <c r="D28" s="961"/>
      <c r="E28" s="961"/>
      <c r="F28" s="961"/>
      <c r="G28" s="961"/>
      <c r="H28" s="961"/>
      <c r="I28" s="961"/>
      <c r="J28" s="50"/>
    </row>
    <row r="29" spans="1:10" ht="18" customHeight="1">
      <c r="A29" s="137"/>
      <c r="B29" s="137"/>
      <c r="C29" s="137"/>
      <c r="D29" s="137"/>
      <c r="E29" s="137"/>
      <c r="F29" s="137"/>
      <c r="G29" s="137"/>
      <c r="H29" s="137"/>
      <c r="I29" s="137"/>
      <c r="J29" s="50"/>
    </row>
    <row r="30" spans="1:10" ht="97.9" customHeight="1">
      <c r="A30" s="961" t="s">
        <v>284</v>
      </c>
      <c r="B30" s="961"/>
      <c r="C30" s="961"/>
      <c r="D30" s="961"/>
      <c r="E30" s="961"/>
      <c r="F30" s="961"/>
      <c r="G30" s="961"/>
      <c r="H30" s="961"/>
      <c r="I30" s="961"/>
      <c r="J30" s="50"/>
    </row>
    <row r="31" spans="1:10" ht="15">
      <c r="A31" s="53"/>
      <c r="B31" s="53"/>
      <c r="C31" s="53"/>
      <c r="D31" s="53"/>
      <c r="E31" s="53"/>
      <c r="F31" s="53"/>
      <c r="G31" s="53"/>
      <c r="H31" s="53"/>
      <c r="I31" s="53"/>
    </row>
    <row r="32" spans="1:10" ht="31.9" customHeight="1">
      <c r="A32" s="964" t="str">
        <f>"Para constancia de lo anterior, se firma en Popayán (Cauca) el día "&amp;IF((TEXT(DATOS!E90,"d"))="1",("Uno"&amp;" ("&amp;TEXT(DATOS!E90,"dd")&amp;") del mes de "&amp;TEXT(DATOS!E90,"mmmm")&amp;" de "&amp;LETRAS(TEXT(DATOS!E90,"YYYY"))&amp;" ("&amp;TEXT(DATOS!E90,"yyyy"))&amp;").",LETRAS(TEXT(DATOS!E90,"d"))&amp;" ("&amp;TEXT(DATOS!E90,"dd")&amp;") del mes de "&amp;TEXT(DATOS!E90,"mmmm")&amp;" de "&amp;LETRAS(TEXT(DATOS!E90,"YYYY"))&amp;" ("&amp;TEXT(DATOS!E90,"yyyy")&amp;").")</f>
        <v>Para constancia de lo anterior, se firma en Popayán (Cauca) el día Cero (00) del mes de January de Mil Novecientos (1900).</v>
      </c>
      <c r="B32" s="964"/>
      <c r="C32" s="964"/>
      <c r="D32" s="964"/>
      <c r="E32" s="964"/>
      <c r="F32" s="964"/>
      <c r="G32" s="964"/>
      <c r="H32" s="964"/>
      <c r="I32" s="964"/>
    </row>
    <row r="33" spans="1:10" ht="15">
      <c r="A33" s="961"/>
      <c r="B33" s="961"/>
      <c r="C33" s="961"/>
      <c r="D33" s="961"/>
      <c r="E33" s="961"/>
      <c r="F33" s="961"/>
      <c r="G33" s="961"/>
      <c r="H33" s="961"/>
      <c r="I33" s="961"/>
      <c r="J33" s="50"/>
    </row>
    <row r="34" spans="1:10" ht="15">
      <c r="A34" s="53"/>
      <c r="B34" s="53"/>
      <c r="C34" s="53"/>
      <c r="D34" s="53"/>
      <c r="E34" s="53"/>
      <c r="F34" s="53"/>
      <c r="G34" s="53"/>
      <c r="H34" s="53"/>
      <c r="I34" s="53"/>
    </row>
    <row r="35" spans="1:10" ht="15">
      <c r="A35" s="53"/>
      <c r="B35" s="53"/>
      <c r="C35" s="53"/>
      <c r="D35" s="53"/>
      <c r="E35" s="53"/>
      <c r="F35" s="53"/>
      <c r="G35" s="53"/>
      <c r="H35" s="53"/>
      <c r="I35" s="53"/>
    </row>
    <row r="36" spans="1:10" ht="15">
      <c r="A36" s="53"/>
      <c r="B36" s="53"/>
      <c r="C36" s="53"/>
      <c r="D36" s="53"/>
      <c r="E36" s="53"/>
      <c r="F36" s="53"/>
      <c r="G36" s="53"/>
      <c r="H36" s="53"/>
      <c r="I36" s="53"/>
    </row>
    <row r="37" spans="1:10" ht="15">
      <c r="A37" s="53"/>
      <c r="B37" s="53"/>
      <c r="C37" s="53"/>
      <c r="D37" s="53"/>
      <c r="E37" s="53"/>
      <c r="F37" s="53"/>
      <c r="G37" s="53"/>
      <c r="H37" s="53"/>
      <c r="I37" s="53"/>
    </row>
    <row r="38" spans="1:10" ht="15.75">
      <c r="A38" s="53"/>
      <c r="B38" s="54">
        <f>IF(DATOS!E16="Persona Jurídica",DATOS!G20,DATOS!G16)</f>
        <v>0</v>
      </c>
      <c r="C38" s="53"/>
      <c r="D38" s="53"/>
      <c r="E38" s="53"/>
      <c r="F38" s="54">
        <f>IF(DATOS!E10="CONTRATO DE OBRA",IF(DATOS!E24="Persona Jurídica",DATOS!G28,DATOS!G24),DATOS!G30)</f>
        <v>0</v>
      </c>
      <c r="G38" s="53"/>
      <c r="H38" s="53"/>
      <c r="I38" s="53"/>
    </row>
    <row r="39" spans="1:10" ht="15">
      <c r="A39" s="53"/>
      <c r="B39" s="55" t="str">
        <f>IF(DATOS!E16="Persona Jurídica",DATOS!G16,"Contratista")</f>
        <v>Contratista</v>
      </c>
      <c r="C39" s="53"/>
      <c r="D39" s="53"/>
      <c r="E39" s="53"/>
      <c r="F39" s="55" t="str">
        <f>IF(DATOS!E24="Persona Jurídica",DATOS!G24,"Interventor")</f>
        <v>Interventor</v>
      </c>
      <c r="G39" s="53"/>
      <c r="H39" s="53"/>
      <c r="I39" s="53"/>
    </row>
    <row r="40" spans="1:10" ht="15">
      <c r="A40" s="53"/>
      <c r="B40" s="55" t="str">
        <f>IF(DATOS!E16="Persona jurídica","Contratista"," ")</f>
        <v xml:space="preserve"> </v>
      </c>
      <c r="C40" s="53"/>
      <c r="D40" s="53"/>
      <c r="E40" s="53"/>
      <c r="F40" s="55" t="str">
        <f>IF(DATOS!E24="Persona jurídica","Interventor"," ")</f>
        <v xml:space="preserve"> </v>
      </c>
      <c r="G40" s="53"/>
      <c r="H40" s="53"/>
      <c r="I40" s="53"/>
    </row>
    <row r="41" spans="1:10" ht="15">
      <c r="A41" s="53"/>
      <c r="B41" s="55"/>
      <c r="C41" s="53"/>
      <c r="D41" s="53"/>
      <c r="E41" s="53"/>
      <c r="F41" s="55"/>
      <c r="G41" s="53"/>
      <c r="H41" s="53"/>
      <c r="I41" s="53"/>
    </row>
    <row r="42" spans="1:10" ht="15">
      <c r="A42" s="53"/>
      <c r="B42" s="55"/>
      <c r="C42" s="53"/>
      <c r="D42" s="53"/>
      <c r="E42" s="53"/>
      <c r="F42" s="55"/>
      <c r="G42" s="53"/>
      <c r="H42" s="53"/>
      <c r="I42" s="53"/>
    </row>
    <row r="43" spans="1:10" ht="15">
      <c r="A43" s="53"/>
      <c r="B43" s="55"/>
      <c r="C43" s="53"/>
      <c r="D43" s="53"/>
      <c r="E43" s="53"/>
      <c r="F43" s="55"/>
      <c r="G43" s="53"/>
      <c r="H43" s="53"/>
      <c r="I43" s="53"/>
    </row>
    <row r="44" spans="1:10" ht="15">
      <c r="A44" s="53"/>
      <c r="B44" s="55"/>
      <c r="C44" s="53"/>
      <c r="D44" s="53"/>
      <c r="E44" s="53"/>
      <c r="F44" s="55"/>
      <c r="G44" s="53"/>
      <c r="H44" s="53"/>
      <c r="I44" s="53"/>
    </row>
    <row r="45" spans="1:10" ht="15">
      <c r="A45" s="53"/>
      <c r="B45" s="55"/>
      <c r="C45" s="53"/>
      <c r="D45" s="53"/>
      <c r="E45" s="53"/>
      <c r="F45" s="55"/>
      <c r="G45" s="53"/>
      <c r="H45" s="53"/>
      <c r="I45" s="53"/>
    </row>
    <row r="46" spans="1:10" ht="15.75">
      <c r="A46" s="1273">
        <f>DATOS!G30</f>
        <v>0</v>
      </c>
      <c r="B46" s="1273"/>
      <c r="C46" s="1273"/>
      <c r="D46" s="1273"/>
      <c r="E46" s="1273"/>
      <c r="F46" s="1273"/>
      <c r="G46" s="1273"/>
      <c r="H46" s="1273"/>
      <c r="I46" s="1273"/>
    </row>
    <row r="47" spans="1:10" ht="15.6" customHeight="1">
      <c r="A47" s="1272" t="s">
        <v>340</v>
      </c>
      <c r="B47" s="1272"/>
      <c r="C47" s="1272"/>
      <c r="D47" s="1272"/>
      <c r="E47" s="1272"/>
      <c r="F47" s="1272"/>
      <c r="G47" s="1272"/>
      <c r="H47" s="1272"/>
      <c r="I47" s="1272"/>
    </row>
    <row r="48" spans="1:10" ht="15">
      <c r="A48" s="53"/>
      <c r="B48" s="55"/>
      <c r="C48" s="53"/>
      <c r="D48" s="53"/>
      <c r="E48" s="53"/>
      <c r="F48" s="55"/>
      <c r="G48" s="53"/>
      <c r="H48" s="53"/>
      <c r="I48" s="53"/>
    </row>
    <row r="49" spans="1:10" ht="15">
      <c r="A49" s="53"/>
      <c r="B49" s="53"/>
      <c r="C49" s="53"/>
      <c r="D49" s="53"/>
      <c r="E49" s="53"/>
      <c r="F49" s="53"/>
      <c r="G49" s="53"/>
      <c r="H49" s="53"/>
      <c r="I49" s="53"/>
      <c r="J49" s="50"/>
    </row>
  </sheetData>
  <mergeCells count="54">
    <mergeCell ref="A46:I46"/>
    <mergeCell ref="A47:I47"/>
    <mergeCell ref="A24:I24"/>
    <mergeCell ref="A25:I25"/>
    <mergeCell ref="A27:I27"/>
    <mergeCell ref="A30:I30"/>
    <mergeCell ref="A32:I32"/>
    <mergeCell ref="A33:I33"/>
    <mergeCell ref="A28:I28"/>
    <mergeCell ref="A20:B20"/>
    <mergeCell ref="C20:I20"/>
    <mergeCell ref="A21:B21"/>
    <mergeCell ref="C21:I21"/>
    <mergeCell ref="A22:B22"/>
    <mergeCell ref="C22:I22"/>
    <mergeCell ref="A17:B17"/>
    <mergeCell ref="C17:I17"/>
    <mergeCell ref="A18:B18"/>
    <mergeCell ref="C18:I18"/>
    <mergeCell ref="A19:B19"/>
    <mergeCell ref="C19:I19"/>
    <mergeCell ref="A14:B14"/>
    <mergeCell ref="C14:I14"/>
    <mergeCell ref="A15:B15"/>
    <mergeCell ref="C15:I15"/>
    <mergeCell ref="A16:B16"/>
    <mergeCell ref="C16:I16"/>
    <mergeCell ref="A11:B11"/>
    <mergeCell ref="C11:I11"/>
    <mergeCell ref="A12:B12"/>
    <mergeCell ref="C12:I12"/>
    <mergeCell ref="A13:B13"/>
    <mergeCell ref="C13:I13"/>
    <mergeCell ref="A8:B8"/>
    <mergeCell ref="C8:I8"/>
    <mergeCell ref="A9:B9"/>
    <mergeCell ref="C9:I9"/>
    <mergeCell ref="A10:B10"/>
    <mergeCell ref="C10:I10"/>
    <mergeCell ref="A4:I4"/>
    <mergeCell ref="A6:B6"/>
    <mergeCell ref="E6:F6"/>
    <mergeCell ref="G6:H6"/>
    <mergeCell ref="A7:B7"/>
    <mergeCell ref="C7:I7"/>
    <mergeCell ref="A1:A3"/>
    <mergeCell ref="B1:E2"/>
    <mergeCell ref="F1:G1"/>
    <mergeCell ref="H1:I1"/>
    <mergeCell ref="F2:G2"/>
    <mergeCell ref="H2:I2"/>
    <mergeCell ref="B3:E3"/>
    <mergeCell ref="F3:G3"/>
    <mergeCell ref="H3:I3"/>
  </mergeCells>
  <conditionalFormatting sqref="C17:I17">
    <cfRule type="expression" dxfId="34" priority="5">
      <formula>$C$17&lt;=0</formula>
    </cfRule>
  </conditionalFormatting>
  <conditionalFormatting sqref="C18:I18">
    <cfRule type="expression" dxfId="33" priority="4">
      <formula>$C$18&lt;=0</formula>
    </cfRule>
  </conditionalFormatting>
  <conditionalFormatting sqref="C20:I20">
    <cfRule type="expression" dxfId="32" priority="3">
      <formula>$C$20&lt;=0</formula>
    </cfRule>
  </conditionalFormatting>
  <conditionalFormatting sqref="C22:I22">
    <cfRule type="expression" dxfId="31" priority="2">
      <formula>$C$22&lt;=0</formula>
    </cfRule>
  </conditionalFormatting>
  <conditionalFormatting sqref="C21:I21">
    <cfRule type="expression" dxfId="30" priority="1">
      <formula>$C$21&lt;=0</formula>
    </cfRule>
  </conditionalFormatting>
  <printOptions horizontalCentered="1"/>
  <pageMargins left="0.78740157480314965" right="0.39370078740157483" top="0.59055118110236227" bottom="1.2598425196850394" header="0.31496062992125984" footer="0.11811023622047245"/>
  <pageSetup scale="82" orientation="portrait" r:id="rId1"/>
  <headerFooter>
    <oddFooter>&amp;L&amp;G&amp;R&amp;"-,Cursiva"&amp;9Página &amp;P de &amp;N&amp;"-,Normal"&amp;11
&amp;G</oddFooter>
  </headerFooter>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K49"/>
  <sheetViews>
    <sheetView zoomScaleNormal="100" zoomScaleSheetLayoutView="90" workbookViewId="0">
      <selection activeCell="C11" sqref="C11:I11"/>
    </sheetView>
  </sheetViews>
  <sheetFormatPr baseColWidth="10" defaultColWidth="11.5703125" defaultRowHeight="14.25"/>
  <cols>
    <col min="1" max="1" width="22.85546875" style="42" customWidth="1"/>
    <col min="2" max="2" width="8.7109375" style="42" customWidth="1"/>
    <col min="3" max="3" width="37.42578125" style="42" customWidth="1"/>
    <col min="4" max="4" width="7.28515625" style="42" customWidth="1"/>
    <col min="5" max="5" width="2.28515625" style="42" customWidth="1"/>
    <col min="6" max="6" width="8.5703125" style="42" customWidth="1"/>
    <col min="7" max="7" width="6.28515625" style="42" customWidth="1"/>
    <col min="8" max="8" width="4.28515625" style="42" customWidth="1"/>
    <col min="9" max="9" width="11.7109375" style="42" customWidth="1"/>
    <col min="10" max="10" width="11.5703125" style="42" customWidth="1"/>
    <col min="11" max="11" width="0" style="42" hidden="1" customWidth="1"/>
    <col min="12" max="16384" width="11.5703125" style="42"/>
  </cols>
  <sheetData>
    <row r="1" spans="1:11" ht="24.6" customHeight="1">
      <c r="A1" s="972"/>
      <c r="B1" s="973" t="s">
        <v>276</v>
      </c>
      <c r="C1" s="973"/>
      <c r="D1" s="973"/>
      <c r="E1" s="973"/>
      <c r="F1" s="975" t="s">
        <v>90</v>
      </c>
      <c r="G1" s="975"/>
      <c r="H1" s="970" t="s">
        <v>84</v>
      </c>
      <c r="I1" s="970"/>
      <c r="J1" s="41"/>
    </row>
    <row r="2" spans="1:11" ht="24.6" customHeight="1">
      <c r="A2" s="972"/>
      <c r="B2" s="973"/>
      <c r="C2" s="973"/>
      <c r="D2" s="973"/>
      <c r="E2" s="973"/>
      <c r="F2" s="975" t="s">
        <v>89</v>
      </c>
      <c r="G2" s="975"/>
      <c r="H2" s="970">
        <v>1</v>
      </c>
      <c r="I2" s="970"/>
      <c r="J2" s="41"/>
    </row>
    <row r="3" spans="1:11" ht="24.6" customHeight="1">
      <c r="A3" s="972"/>
      <c r="B3" s="970" t="s">
        <v>93</v>
      </c>
      <c r="C3" s="970"/>
      <c r="D3" s="970"/>
      <c r="E3" s="970"/>
      <c r="F3" s="1160" t="s">
        <v>88</v>
      </c>
      <c r="G3" s="1161"/>
      <c r="H3" s="970"/>
      <c r="I3" s="970"/>
      <c r="J3" s="41"/>
    </row>
    <row r="4" spans="1:11" ht="34.9" customHeight="1">
      <c r="A4" s="1019" t="s">
        <v>289</v>
      </c>
      <c r="B4" s="1162"/>
      <c r="C4" s="1162"/>
      <c r="D4" s="1162"/>
      <c r="E4" s="1162"/>
      <c r="F4" s="1162"/>
      <c r="G4" s="1162"/>
      <c r="H4" s="1162"/>
      <c r="I4" s="1162"/>
      <c r="J4" s="41"/>
    </row>
    <row r="5" spans="1:11" ht="3" customHeight="1">
      <c r="A5" s="135"/>
      <c r="B5" s="138"/>
      <c r="C5" s="138"/>
      <c r="D5" s="138"/>
      <c r="E5" s="138"/>
      <c r="F5" s="138"/>
      <c r="G5" s="138"/>
      <c r="H5" s="138"/>
      <c r="I5" s="138"/>
      <c r="J5" s="41"/>
    </row>
    <row r="6" spans="1:11" ht="19.149999999999999" customHeight="1">
      <c r="A6" s="962" t="s">
        <v>1</v>
      </c>
      <c r="B6" s="962"/>
      <c r="C6" s="51">
        <f>DATOS!$E$10</f>
        <v>0</v>
      </c>
      <c r="D6" s="181" t="s">
        <v>92</v>
      </c>
      <c r="E6" s="974">
        <f>DATOS!E12</f>
        <v>0</v>
      </c>
      <c r="F6" s="974"/>
      <c r="G6" s="962" t="s">
        <v>86</v>
      </c>
      <c r="H6" s="962"/>
      <c r="I6" s="136">
        <f>DATOS!I12</f>
        <v>0</v>
      </c>
      <c r="J6" s="41"/>
    </row>
    <row r="7" spans="1:11" ht="19.149999999999999" customHeight="1">
      <c r="A7" s="962" t="s">
        <v>94</v>
      </c>
      <c r="B7" s="962"/>
      <c r="C7" s="963" t="s">
        <v>101</v>
      </c>
      <c r="D7" s="963"/>
      <c r="E7" s="963"/>
      <c r="F7" s="963"/>
      <c r="G7" s="963"/>
      <c r="H7" s="963"/>
      <c r="I7" s="963"/>
      <c r="J7" s="41"/>
    </row>
    <row r="8" spans="1:11" ht="19.149999999999999" customHeight="1">
      <c r="A8" s="962" t="s">
        <v>95</v>
      </c>
      <c r="B8" s="962"/>
      <c r="C8" s="963" t="s">
        <v>102</v>
      </c>
      <c r="D8" s="963"/>
      <c r="E8" s="963"/>
      <c r="F8" s="963"/>
      <c r="G8" s="963"/>
      <c r="H8" s="963"/>
      <c r="I8" s="963"/>
      <c r="J8" s="41"/>
    </row>
    <row r="9" spans="1:11" ht="19.149999999999999" customHeight="1">
      <c r="A9" s="962" t="str">
        <f>IF('SUSP 5'!C6="CONTRATO DE OBRA",("INTERVENTOR"),("SUPERVISOR"))</f>
        <v>SUPERVISOR</v>
      </c>
      <c r="B9" s="962"/>
      <c r="C9" s="963">
        <f>LOOKUP(A9,DATOS!C24:C30,DATOS!G24:G30)</f>
        <v>0</v>
      </c>
      <c r="D9" s="963"/>
      <c r="E9" s="963"/>
      <c r="F9" s="963"/>
      <c r="G9" s="963"/>
      <c r="H9" s="963"/>
      <c r="I9" s="963"/>
      <c r="K9" s="394" t="str">
        <f>LOOKUP(A9,DATOS!C24:C30,DATOS!M24:M30)</f>
        <v>la</v>
      </c>
    </row>
    <row r="10" spans="1:11" ht="19.149999999999999" customHeight="1">
      <c r="A10" s="962" t="s">
        <v>95</v>
      </c>
      <c r="B10" s="962"/>
      <c r="C10" s="963">
        <f>IF(A9=DATOS!C24,DATOS!E26,DATOS!E32)</f>
        <v>0</v>
      </c>
      <c r="D10" s="963"/>
      <c r="E10" s="963"/>
      <c r="F10" s="963"/>
      <c r="G10" s="963"/>
      <c r="H10" s="963"/>
      <c r="I10" s="963"/>
      <c r="K10" s="394"/>
    </row>
    <row r="11" spans="1:11" ht="19.149999999999999" customHeight="1">
      <c r="A11" s="962" t="s">
        <v>5</v>
      </c>
      <c r="B11" s="962"/>
      <c r="C11" s="963" t="str">
        <f>IF(DATOS!G28&gt;0,DATOS!G28,"N/A")</f>
        <v>N/A</v>
      </c>
      <c r="D11" s="963"/>
      <c r="E11" s="963"/>
      <c r="F11" s="963"/>
      <c r="G11" s="963"/>
      <c r="H11" s="963"/>
      <c r="I11" s="963"/>
      <c r="K11" s="394"/>
    </row>
    <row r="12" spans="1:11" ht="19.149999999999999" customHeight="1">
      <c r="A12" s="962" t="s">
        <v>107</v>
      </c>
      <c r="B12" s="962"/>
      <c r="C12" s="963">
        <f>DATOS!G16</f>
        <v>0</v>
      </c>
      <c r="D12" s="963"/>
      <c r="E12" s="963"/>
      <c r="F12" s="963"/>
      <c r="G12" s="963"/>
      <c r="H12" s="963"/>
      <c r="I12" s="963"/>
      <c r="K12" s="394" t="str">
        <f>DATOS!M16</f>
        <v>la</v>
      </c>
    </row>
    <row r="13" spans="1:11" ht="19.149999999999999" customHeight="1">
      <c r="A13" s="962" t="s">
        <v>95</v>
      </c>
      <c r="B13" s="962"/>
      <c r="C13" s="1163">
        <f>DATOS!E18</f>
        <v>0</v>
      </c>
      <c r="D13" s="963"/>
      <c r="E13" s="963"/>
      <c r="F13" s="963"/>
      <c r="G13" s="963"/>
      <c r="H13" s="963"/>
      <c r="I13" s="963"/>
      <c r="K13" s="394"/>
    </row>
    <row r="14" spans="1:11" ht="19.149999999999999" customHeight="1">
      <c r="A14" s="962" t="s">
        <v>5</v>
      </c>
      <c r="B14" s="962"/>
      <c r="C14" s="963" t="str">
        <f>IF(DATOS!G20&gt;0,DATOS!G20,"N/A")</f>
        <v>N/A</v>
      </c>
      <c r="D14" s="963"/>
      <c r="E14" s="963"/>
      <c r="F14" s="963"/>
      <c r="G14" s="963"/>
      <c r="H14" s="963"/>
      <c r="I14" s="963"/>
      <c r="K14" s="394" t="str">
        <f>DATOS!M20</f>
        <v>la</v>
      </c>
    </row>
    <row r="15" spans="1:11" ht="66.599999999999994" customHeight="1">
      <c r="A15" s="962" t="s">
        <v>8</v>
      </c>
      <c r="B15" s="962"/>
      <c r="C15" s="968">
        <f>DATOS!E38</f>
        <v>0</v>
      </c>
      <c r="D15" s="968"/>
      <c r="E15" s="968"/>
      <c r="F15" s="968"/>
      <c r="G15" s="968"/>
      <c r="H15" s="968"/>
      <c r="I15" s="968"/>
      <c r="K15" s="394"/>
    </row>
    <row r="16" spans="1:11" ht="19.149999999999999" customHeight="1">
      <c r="A16" s="962" t="s">
        <v>12</v>
      </c>
      <c r="B16" s="962"/>
      <c r="C16" s="969">
        <f>DATOS!E46</f>
        <v>0</v>
      </c>
      <c r="D16" s="969"/>
      <c r="E16" s="969"/>
      <c r="F16" s="969"/>
      <c r="G16" s="969"/>
      <c r="H16" s="969"/>
      <c r="I16" s="969"/>
    </row>
    <row r="17" spans="1:10" ht="19.149999999999999" customHeight="1">
      <c r="A17" s="962" t="s">
        <v>278</v>
      </c>
      <c r="B17" s="962"/>
      <c r="C17" s="969">
        <f>DATOS!E60</f>
        <v>30000000</v>
      </c>
      <c r="D17" s="969"/>
      <c r="E17" s="969"/>
      <c r="F17" s="969"/>
      <c r="G17" s="969"/>
      <c r="H17" s="969"/>
      <c r="I17" s="969"/>
    </row>
    <row r="18" spans="1:10" ht="19.149999999999999" customHeight="1">
      <c r="A18" s="962" t="s">
        <v>279</v>
      </c>
      <c r="B18" s="962"/>
      <c r="C18" s="969">
        <f>DATOS!E62</f>
        <v>0</v>
      </c>
      <c r="D18" s="969"/>
      <c r="E18" s="969"/>
      <c r="F18" s="969"/>
      <c r="G18" s="969"/>
      <c r="H18" s="969"/>
      <c r="I18" s="969"/>
    </row>
    <row r="19" spans="1:10" ht="19.149999999999999" customHeight="1">
      <c r="A19" s="962" t="s">
        <v>11</v>
      </c>
      <c r="B19" s="962"/>
      <c r="C19" s="963" t="str">
        <f>CONCATENATE(DATOS!E44,DATOS!F44,DATOS!G44)</f>
        <v xml:space="preserve"> </v>
      </c>
      <c r="D19" s="963"/>
      <c r="E19" s="963"/>
      <c r="F19" s="963"/>
      <c r="G19" s="963"/>
      <c r="H19" s="963"/>
      <c r="I19" s="963"/>
    </row>
    <row r="20" spans="1:10" ht="19.149999999999999" customHeight="1">
      <c r="A20" s="962" t="s">
        <v>280</v>
      </c>
      <c r="B20" s="962"/>
      <c r="C20" s="963" t="str">
        <f>IF(DATOS!E64&gt;0,CONCATENATE(DATOS!E64,DATOS!F64,DATOS!G64),0)</f>
        <v>5 MESES</v>
      </c>
      <c r="D20" s="963"/>
      <c r="E20" s="963"/>
      <c r="F20" s="963"/>
      <c r="G20" s="963"/>
      <c r="H20" s="963"/>
      <c r="I20" s="963"/>
    </row>
    <row r="21" spans="1:10" ht="19.149999999999999" customHeight="1">
      <c r="A21" s="962" t="s">
        <v>281</v>
      </c>
      <c r="B21" s="962"/>
      <c r="C21" s="963">
        <f>IF(DATOS!E66&gt;0,CONCATENATE(DATOS!E66,DATOS!F66,DATOS!G66),0)</f>
        <v>0</v>
      </c>
      <c r="D21" s="963"/>
      <c r="E21" s="963"/>
      <c r="F21" s="963"/>
      <c r="G21" s="963"/>
      <c r="H21" s="963"/>
      <c r="I21" s="963"/>
    </row>
    <row r="22" spans="1:10" ht="19.149999999999999" customHeight="1">
      <c r="A22" s="962" t="s">
        <v>282</v>
      </c>
      <c r="B22" s="962"/>
      <c r="C22" s="963">
        <f>IF(DATOS!E68&gt;0,CONCATENATE(DATOS!E68,DATOS!F68,DATOS!G68),0)</f>
        <v>0</v>
      </c>
      <c r="D22" s="963"/>
      <c r="E22" s="963"/>
      <c r="F22" s="963"/>
      <c r="G22" s="963"/>
      <c r="H22" s="963"/>
      <c r="I22" s="963"/>
    </row>
    <row r="23" spans="1:10" ht="27.6" customHeight="1">
      <c r="A23" s="53"/>
      <c r="B23" s="53"/>
      <c r="C23" s="53"/>
      <c r="D23" s="53"/>
      <c r="E23" s="53"/>
      <c r="F23" s="53"/>
      <c r="G23" s="53"/>
      <c r="H23" s="53"/>
      <c r="I23" s="53"/>
    </row>
    <row r="24" spans="1:10" ht="96" customHeight="1">
      <c r="A24" s="961" t="str">
        <f>IF(DATOS!E16="Persona Jurídica",IF(DATOS!E24="Persona Jurídica","En Popayán el día "&amp;IF((TEXT(DATOS!E96,"d"))="1",("Uno" &amp;" ("&amp;TEXT(DATOS!E96,"dd")&amp;") del mes de "&amp;TEXT(DATOS!E96,"mmmm")&amp;" de "&amp;TEXT(DATOS!E96,"yyyy")&amp;", se reunieron "&amp;DATOS!M28&amp;"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referencia."),LETRAS(TEXT(DATOS!E96,"d"))&amp;" ("&amp;TEXT(DATOS!E96,"dd")&amp;") del mes de "&amp;TEXT(DATOS!E96,"mmmm")&amp;" de "&amp;TEXT(DATOS!E96,"yyyy")&amp;", se reunieron "&amp;DATOS!M28&amp;"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referencia."),"En Popayán el día "&amp;IF((TEXT(DATOS!E96,"d"))="1",("Uno" &amp;" ("&amp;TEXT(DATOS!E96,"dd")&amp;") del mes de "&amp;TEXT(DATOS!E96,"mmmm")&amp;" de "&amp;TEXT(DATOS!E96,"yyyy")&amp;", se reunieron "&amp;K9&amp;"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referencia."),LETRAS(TEXT(DATOS!E96,"d"))&amp;" ("&amp;TEXT(DATOS!E96,"dd")&amp;") del mes de "&amp;TEXT(DATOS!E96,"mmmm")&amp;" de "&amp;TEXT(DATOS!E96,"yyyy")&amp;", se reunieron "&amp;K9&amp;"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referencia.")),IF(DATOS!E24="Persona Jurídica","En Popayán el día "&amp;IF((TEXT(DATOS!E96,"d"))="1",("Uno" &amp;" ("&amp;TEXT(DATOS!E96,"dd")&amp;") del mes de "&amp;TEXT(DATOS!E96,"mmmm")&amp;" de "&amp;TEXT(DATOS!E96,"yyyy")&amp;", se reunieron "&amp;DATOS!M28&amp;"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referencia."),LETRAS(TEXT(DATOS!E96,"d"))&amp;" ("&amp;TEXT(DATOS!E96,"dd")&amp;") del mes de "&amp;TEXT(DATOS!E96,"mmmm")&amp;" de "&amp;TEXT(DATOS!E96,"yyyy")&amp;", se reunieron "&amp;DATOS!M28&amp;"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referencia."),"En Popayán el día "&amp;IF((TEXT(DATOS!E96,"d"))="1",("Uno" &amp;" ("&amp;TEXT(DATOS!E96,"dd")&amp;") del mes de "&amp;TEXT(DATOS!E96,"mmmm")&amp;" de "&amp;TEXT(DATOS!E96,"yyyy")&amp;", se reunieron "&amp;K9&amp;" "&amp;DATOS!E24&amp;" "&amp;C9&amp;", en calidad de "&amp;A9&amp;" del "&amp;DATOS!E10&amp;" No. "&amp;DATOS!E12&amp;" "&amp;DATOS!G12&amp;" "&amp;DATOS!I12&amp;", por una parte, y por la otra "&amp;K12&amp;" "&amp;DATOS!E16&amp;" "&amp;C12&amp;" en calidad de "&amp;A12&amp;", para acordar la suspensión del contrato en referencia."),LETRAS(TEXT(DATOS!E96,"d"))&amp;" ("&amp;TEXT(DATOS!E96,"dd")&amp;") del mes de "&amp;TEXT(DATOS!E96,"mmmm")&amp;" de "&amp;TEXT(DATOS!E96,"yyyy")&amp;", se reunieron "&amp;K9&amp;" "&amp;DATOS!E24&amp;" "&amp;C9&amp;", en calidad de "&amp;A9&amp;" del "&amp;DATOS!E10&amp;" No. "&amp;DATOS!E12&amp;" "&amp;DATOS!G12&amp;" "&amp;DATOS!I12&amp;", por una parte, y por la otra "&amp;K12&amp;" "&amp;DATOS!E16&amp;" "&amp;C12&amp;" en calidad de "&amp;A12&amp;", para acordar la suspensión del contrato en referencia.")))</f>
        <v>En Popayán el día Cero (00) del mes de January de 1900, se reunieron la  0, en calidad de SUPERVISOR del  No.   , por una parte, y por la otra la  0 en calidad de CONTRATISTA, para acordar la suspensión del contrato en referencia.</v>
      </c>
      <c r="B24" s="961"/>
      <c r="C24" s="961"/>
      <c r="D24" s="961"/>
      <c r="E24" s="961"/>
      <c r="F24" s="961"/>
      <c r="G24" s="961"/>
      <c r="H24" s="961"/>
      <c r="I24" s="961"/>
      <c r="J24" s="50"/>
    </row>
    <row r="25" spans="1:10" ht="15.75">
      <c r="A25" s="1165" t="s">
        <v>283</v>
      </c>
      <c r="B25" s="1165"/>
      <c r="C25" s="1165"/>
      <c r="D25" s="1165"/>
      <c r="E25" s="1165"/>
      <c r="F25" s="1165"/>
      <c r="G25" s="1165"/>
      <c r="H25" s="1165"/>
      <c r="I25" s="1165"/>
      <c r="J25" s="50"/>
    </row>
    <row r="26" spans="1:10" ht="15">
      <c r="A26" s="137"/>
      <c r="B26" s="137"/>
      <c r="C26" s="137"/>
      <c r="D26" s="137"/>
      <c r="E26" s="137"/>
      <c r="F26" s="137"/>
      <c r="G26" s="137"/>
      <c r="H26" s="137"/>
      <c r="I26" s="137"/>
      <c r="J26" s="50"/>
    </row>
    <row r="27" spans="1:10" ht="72.599999999999994" customHeight="1">
      <c r="A27" s="961" t="str">
        <f>"PRIMERO. - De común acuerdo suspender temporalmente el "&amp;DATOS!E10&amp;" No. "&amp;DATOS!E12&amp;" "&amp;DATOS!G12&amp;" "&amp;DATOS!I12&amp;", cuyo objeto es "&amp;DATOS!E38&amp;", teniendo en cuenta las siguientes consideraciones que han impedido la ejecución del mencionado contrato:"</f>
        <v>PRIMERO. - De común acuerdo suspender temporalmente el  No.   , cuyo objeto es , teniendo en cuenta las siguientes consideraciones que han impedido la ejecución del mencionado contrato:</v>
      </c>
      <c r="B27" s="961"/>
      <c r="C27" s="961"/>
      <c r="D27" s="961"/>
      <c r="E27" s="961"/>
      <c r="F27" s="961"/>
      <c r="G27" s="961"/>
      <c r="H27" s="961"/>
      <c r="I27" s="961"/>
      <c r="J27" s="50"/>
    </row>
    <row r="28" spans="1:10" ht="15">
      <c r="A28" s="1166" t="s">
        <v>335</v>
      </c>
      <c r="B28" s="961"/>
      <c r="C28" s="961"/>
      <c r="D28" s="961"/>
      <c r="E28" s="961"/>
      <c r="F28" s="961"/>
      <c r="G28" s="961"/>
      <c r="H28" s="961"/>
      <c r="I28" s="961"/>
      <c r="J28" s="50"/>
    </row>
    <row r="29" spans="1:10" ht="19.149999999999999" customHeight="1">
      <c r="A29" s="137"/>
      <c r="B29" s="137"/>
      <c r="C29" s="137"/>
      <c r="D29" s="137"/>
      <c r="E29" s="137"/>
      <c r="F29" s="137"/>
      <c r="G29" s="137"/>
      <c r="H29" s="137"/>
      <c r="I29" s="137"/>
      <c r="J29" s="50"/>
    </row>
    <row r="30" spans="1:10" ht="97.9" customHeight="1">
      <c r="A30" s="961" t="s">
        <v>284</v>
      </c>
      <c r="B30" s="961"/>
      <c r="C30" s="961"/>
      <c r="D30" s="961"/>
      <c r="E30" s="961"/>
      <c r="F30" s="961"/>
      <c r="G30" s="961"/>
      <c r="H30" s="961"/>
      <c r="I30" s="961"/>
      <c r="J30" s="50"/>
    </row>
    <row r="31" spans="1:10" ht="15">
      <c r="A31" s="53"/>
      <c r="B31" s="53"/>
      <c r="C31" s="53"/>
      <c r="D31" s="53"/>
      <c r="E31" s="53"/>
      <c r="F31" s="53"/>
      <c r="G31" s="53"/>
      <c r="H31" s="53"/>
      <c r="I31" s="53"/>
    </row>
    <row r="32" spans="1:10" ht="31.9" customHeight="1">
      <c r="A32" s="964" t="str">
        <f>"Para constancia de lo anterior, se firma en Popayán (Cauca) el día "&amp;IF((TEXT(DATOS!E96,"d"))="1",("Uno"&amp;" ("&amp;TEXT(DATOS!E96,"dd")&amp;") del mes de "&amp;TEXT(DATOS!E96,"mmmm")&amp;" de "&amp;LETRAS(TEXT(DATOS!E96,"YYYY"))&amp;" ("&amp;TEXT(DATOS!E96,"yyyy"))&amp;").",LETRAS(TEXT(DATOS!E96,"d"))&amp;" ("&amp;TEXT(DATOS!E96,"dd")&amp;") del mes de "&amp;TEXT(DATOS!E96,"mmmm")&amp;" de "&amp;LETRAS(TEXT(DATOS!E96,"YYYY"))&amp;" ("&amp;TEXT(DATOS!E96,"yyyy")&amp;").")</f>
        <v>Para constancia de lo anterior, se firma en Popayán (Cauca) el día Cero (00) del mes de January de Mil Novecientos (1900).</v>
      </c>
      <c r="B32" s="964"/>
      <c r="C32" s="964"/>
      <c r="D32" s="964"/>
      <c r="E32" s="964"/>
      <c r="F32" s="964"/>
      <c r="G32" s="964"/>
      <c r="H32" s="964"/>
      <c r="I32" s="964"/>
    </row>
    <row r="33" spans="1:10" ht="15">
      <c r="A33" s="961"/>
      <c r="B33" s="961"/>
      <c r="C33" s="961"/>
      <c r="D33" s="961"/>
      <c r="E33" s="961"/>
      <c r="F33" s="961"/>
      <c r="G33" s="961"/>
      <c r="H33" s="961"/>
      <c r="I33" s="961"/>
      <c r="J33" s="50"/>
    </row>
    <row r="34" spans="1:10" ht="15">
      <c r="A34" s="53"/>
      <c r="B34" s="53"/>
      <c r="C34" s="53"/>
      <c r="D34" s="53"/>
      <c r="E34" s="53"/>
      <c r="F34" s="53"/>
      <c r="G34" s="53"/>
      <c r="H34" s="53"/>
      <c r="I34" s="53"/>
    </row>
    <row r="35" spans="1:10" ht="15">
      <c r="A35" s="53"/>
      <c r="B35" s="53"/>
      <c r="C35" s="53"/>
      <c r="D35" s="53"/>
      <c r="E35" s="53"/>
      <c r="F35" s="53"/>
      <c r="G35" s="53"/>
      <c r="H35" s="53"/>
      <c r="I35" s="53"/>
    </row>
    <row r="36" spans="1:10" ht="15">
      <c r="A36" s="53"/>
      <c r="B36" s="53"/>
      <c r="C36" s="53"/>
      <c r="D36" s="53"/>
      <c r="E36" s="53"/>
      <c r="F36" s="53"/>
      <c r="G36" s="53"/>
      <c r="H36" s="53"/>
      <c r="I36" s="53"/>
    </row>
    <row r="37" spans="1:10" ht="15">
      <c r="A37" s="53"/>
      <c r="B37" s="53"/>
      <c r="C37" s="53"/>
      <c r="D37" s="53"/>
      <c r="E37" s="53"/>
      <c r="F37" s="53"/>
      <c r="G37" s="53"/>
      <c r="H37" s="53"/>
      <c r="I37" s="53"/>
    </row>
    <row r="38" spans="1:10" ht="15.75">
      <c r="A38" s="53"/>
      <c r="B38" s="54">
        <f>IF(DATOS!E16="Persona Jurídica",DATOS!G20,DATOS!G16)</f>
        <v>0</v>
      </c>
      <c r="C38" s="53"/>
      <c r="D38" s="53"/>
      <c r="E38" s="53"/>
      <c r="F38" s="54">
        <f>IF(DATOS!E10="CONTRATO DE OBRA",IF(DATOS!E24="Persona Jurídica",DATOS!G28,DATOS!G24),DATOS!G30)</f>
        <v>0</v>
      </c>
      <c r="G38" s="53"/>
      <c r="H38" s="53"/>
      <c r="I38" s="53"/>
    </row>
    <row r="39" spans="1:10" ht="15">
      <c r="A39" s="53"/>
      <c r="B39" s="55" t="str">
        <f>IF(DATOS!E16="Persona Jurídica",DATOS!G16,"Contratista")</f>
        <v>Contratista</v>
      </c>
      <c r="C39" s="53"/>
      <c r="D39" s="53"/>
      <c r="E39" s="53"/>
      <c r="F39" s="55" t="str">
        <f>IF(DATOS!E24="Persona Jurídica",DATOS!G24,"Interventor")</f>
        <v>Interventor</v>
      </c>
      <c r="G39" s="53"/>
      <c r="H39" s="53"/>
      <c r="I39" s="53"/>
    </row>
    <row r="40" spans="1:10" ht="15">
      <c r="A40" s="53"/>
      <c r="B40" s="55" t="str">
        <f>IF(DATOS!E16="Persona jurídica","Contratista"," ")</f>
        <v xml:space="preserve"> </v>
      </c>
      <c r="C40" s="53"/>
      <c r="D40" s="53"/>
      <c r="E40" s="53"/>
      <c r="F40" s="55" t="str">
        <f>IF(DATOS!E24="Persona jurídica","Interventor"," ")</f>
        <v xml:space="preserve"> </v>
      </c>
      <c r="G40" s="53"/>
      <c r="H40" s="53"/>
      <c r="I40" s="53"/>
    </row>
    <row r="41" spans="1:10" ht="15">
      <c r="A41" s="53"/>
      <c r="B41" s="55"/>
      <c r="C41" s="53"/>
      <c r="D41" s="53"/>
      <c r="E41" s="53"/>
      <c r="F41" s="55"/>
      <c r="G41" s="53"/>
      <c r="H41" s="53"/>
      <c r="I41" s="53"/>
    </row>
    <row r="42" spans="1:10" ht="15">
      <c r="A42" s="53"/>
      <c r="B42" s="55"/>
      <c r="C42" s="53"/>
      <c r="D42" s="53"/>
      <c r="E42" s="53"/>
      <c r="F42" s="55"/>
      <c r="G42" s="53"/>
      <c r="H42" s="53"/>
      <c r="I42" s="53"/>
    </row>
    <row r="43" spans="1:10" ht="15">
      <c r="A43" s="53"/>
      <c r="B43" s="55"/>
      <c r="C43" s="53"/>
      <c r="D43" s="53"/>
      <c r="E43" s="53"/>
      <c r="F43" s="55"/>
      <c r="G43" s="53"/>
      <c r="H43" s="53"/>
      <c r="I43" s="53"/>
    </row>
    <row r="44" spans="1:10" ht="15">
      <c r="A44" s="53"/>
      <c r="B44" s="55"/>
      <c r="C44" s="53"/>
      <c r="D44" s="53"/>
      <c r="E44" s="53"/>
      <c r="F44" s="55"/>
      <c r="G44" s="53"/>
      <c r="H44" s="53"/>
      <c r="I44" s="53"/>
    </row>
    <row r="45" spans="1:10" ht="15">
      <c r="A45" s="53"/>
      <c r="B45" s="55"/>
      <c r="C45" s="53"/>
      <c r="D45" s="53"/>
      <c r="E45" s="53"/>
      <c r="F45" s="55"/>
      <c r="G45" s="53"/>
      <c r="H45" s="53"/>
      <c r="I45" s="53"/>
    </row>
    <row r="46" spans="1:10" ht="15.75">
      <c r="A46" s="1273">
        <f>DATOS!G30</f>
        <v>0</v>
      </c>
      <c r="B46" s="1273"/>
      <c r="C46" s="1273"/>
      <c r="D46" s="1273"/>
      <c r="E46" s="1273"/>
      <c r="F46" s="1273"/>
      <c r="G46" s="1273"/>
      <c r="H46" s="1273"/>
      <c r="I46" s="1273"/>
    </row>
    <row r="47" spans="1:10" ht="15.6" customHeight="1">
      <c r="A47" s="1272" t="s">
        <v>285</v>
      </c>
      <c r="B47" s="1272"/>
      <c r="C47" s="1272"/>
      <c r="D47" s="1272"/>
      <c r="E47" s="1272"/>
      <c r="F47" s="1272"/>
      <c r="G47" s="1272"/>
      <c r="H47" s="1272"/>
      <c r="I47" s="1272"/>
    </row>
    <row r="48" spans="1:10" ht="15">
      <c r="A48" s="53"/>
      <c r="B48" s="55"/>
      <c r="C48" s="53"/>
      <c r="D48" s="53"/>
      <c r="E48" s="53"/>
      <c r="F48" s="55"/>
      <c r="G48" s="53"/>
      <c r="H48" s="53"/>
      <c r="I48" s="53"/>
    </row>
    <row r="49" spans="1:10" ht="15">
      <c r="A49" s="53"/>
      <c r="B49" s="53"/>
      <c r="C49" s="53"/>
      <c r="D49" s="53"/>
      <c r="E49" s="53"/>
      <c r="F49" s="53"/>
      <c r="G49" s="53"/>
      <c r="H49" s="53"/>
      <c r="I49" s="53"/>
      <c r="J49" s="50"/>
    </row>
  </sheetData>
  <mergeCells count="54">
    <mergeCell ref="A46:I46"/>
    <mergeCell ref="A47:I47"/>
    <mergeCell ref="A24:I24"/>
    <mergeCell ref="A25:I25"/>
    <mergeCell ref="A27:I27"/>
    <mergeCell ref="A30:I30"/>
    <mergeCell ref="A32:I32"/>
    <mergeCell ref="A33:I33"/>
    <mergeCell ref="A28:I28"/>
    <mergeCell ref="A20:B20"/>
    <mergeCell ref="C20:I20"/>
    <mergeCell ref="A21:B21"/>
    <mergeCell ref="C21:I21"/>
    <mergeCell ref="A22:B22"/>
    <mergeCell ref="C22:I22"/>
    <mergeCell ref="A17:B17"/>
    <mergeCell ref="C17:I17"/>
    <mergeCell ref="A18:B18"/>
    <mergeCell ref="C18:I18"/>
    <mergeCell ref="A19:B19"/>
    <mergeCell ref="C19:I19"/>
    <mergeCell ref="A14:B14"/>
    <mergeCell ref="C14:I14"/>
    <mergeCell ref="A15:B15"/>
    <mergeCell ref="C15:I15"/>
    <mergeCell ref="A16:B16"/>
    <mergeCell ref="C16:I16"/>
    <mergeCell ref="A11:B11"/>
    <mergeCell ref="C11:I11"/>
    <mergeCell ref="A12:B12"/>
    <mergeCell ref="C12:I12"/>
    <mergeCell ref="A13:B13"/>
    <mergeCell ref="C13:I13"/>
    <mergeCell ref="A8:B8"/>
    <mergeCell ref="C8:I8"/>
    <mergeCell ref="A9:B9"/>
    <mergeCell ref="C9:I9"/>
    <mergeCell ref="A10:B10"/>
    <mergeCell ref="C10:I10"/>
    <mergeCell ref="A4:I4"/>
    <mergeCell ref="A6:B6"/>
    <mergeCell ref="E6:F6"/>
    <mergeCell ref="G6:H6"/>
    <mergeCell ref="A7:B7"/>
    <mergeCell ref="C7:I7"/>
    <mergeCell ref="A1:A3"/>
    <mergeCell ref="B1:E2"/>
    <mergeCell ref="F1:G1"/>
    <mergeCell ref="H1:I1"/>
    <mergeCell ref="F2:G2"/>
    <mergeCell ref="H2:I2"/>
    <mergeCell ref="B3:E3"/>
    <mergeCell ref="F3:G3"/>
    <mergeCell ref="H3:I3"/>
  </mergeCells>
  <conditionalFormatting sqref="C17:I17">
    <cfRule type="expression" dxfId="29" priority="5">
      <formula>$C$17&lt;=0</formula>
    </cfRule>
  </conditionalFormatting>
  <conditionalFormatting sqref="C18:I18">
    <cfRule type="expression" dxfId="28" priority="4">
      <formula>$C$18&lt;=0</formula>
    </cfRule>
  </conditionalFormatting>
  <conditionalFormatting sqref="C20:I20">
    <cfRule type="expression" dxfId="27" priority="3">
      <formula>$C$20&lt;=0</formula>
    </cfRule>
  </conditionalFormatting>
  <conditionalFormatting sqref="C22:I22">
    <cfRule type="expression" dxfId="26" priority="2">
      <formula>$C$22&lt;=0</formula>
    </cfRule>
  </conditionalFormatting>
  <conditionalFormatting sqref="C21:I21">
    <cfRule type="expression" dxfId="25" priority="1">
      <formula>$C$21&lt;=0</formula>
    </cfRule>
  </conditionalFormatting>
  <printOptions horizontalCentered="1"/>
  <pageMargins left="0.78740157480314965" right="0.39370078740157483" top="0.59055118110236227" bottom="1.2598425196850394" header="0.31496062992125984" footer="0.11811023622047245"/>
  <pageSetup scale="82" orientation="portrait" r:id="rId1"/>
  <headerFooter>
    <oddFooter>&amp;L&amp;G&amp;R&amp;"-,Cursiva"&amp;9Página &amp;P de &amp;N&amp;"-,Normal"&amp;11
&amp;G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K42"/>
  <sheetViews>
    <sheetView tabSelected="1" view="pageBreakPreview" zoomScaleNormal="100" zoomScaleSheetLayoutView="100" workbookViewId="0">
      <selection activeCell="L15" sqref="L15"/>
    </sheetView>
  </sheetViews>
  <sheetFormatPr baseColWidth="10" defaultColWidth="11.5703125" defaultRowHeight="14.25"/>
  <cols>
    <col min="1" max="1" width="22.85546875" style="42" customWidth="1"/>
    <col min="2" max="2" width="8.7109375" style="42" customWidth="1"/>
    <col min="3" max="3" width="41.42578125" style="42" bestFit="1" customWidth="1"/>
    <col min="4" max="4" width="7.28515625" style="42" customWidth="1"/>
    <col min="5" max="5" width="2.28515625" style="42" customWidth="1"/>
    <col min="6" max="6" width="8.5703125" style="42" customWidth="1"/>
    <col min="7" max="7" width="6.28515625" style="42" customWidth="1"/>
    <col min="8" max="8" width="4.28515625" style="42" customWidth="1"/>
    <col min="9" max="9" width="11.7109375" style="42" customWidth="1"/>
    <col min="10" max="10" width="11.5703125" style="42" customWidth="1"/>
    <col min="11" max="16384" width="11.5703125" style="42"/>
  </cols>
  <sheetData>
    <row r="1" spans="1:11" ht="18.600000000000001" customHeight="1">
      <c r="A1" s="972"/>
      <c r="B1" s="973" t="s">
        <v>91</v>
      </c>
      <c r="C1" s="973"/>
      <c r="D1" s="973"/>
      <c r="E1" s="973"/>
      <c r="F1" s="975" t="s">
        <v>90</v>
      </c>
      <c r="G1" s="975"/>
      <c r="H1" s="970" t="s">
        <v>1128</v>
      </c>
      <c r="I1" s="970"/>
      <c r="J1" s="41"/>
    </row>
    <row r="2" spans="1:11" ht="18.600000000000001" customHeight="1">
      <c r="A2" s="972"/>
      <c r="B2" s="973"/>
      <c r="C2" s="973"/>
      <c r="D2" s="973"/>
      <c r="E2" s="973"/>
      <c r="F2" s="975" t="s">
        <v>89</v>
      </c>
      <c r="G2" s="975"/>
      <c r="H2" s="970" t="s">
        <v>248</v>
      </c>
      <c r="I2" s="970"/>
      <c r="J2" s="41"/>
    </row>
    <row r="3" spans="1:11" ht="18.600000000000001" customHeight="1">
      <c r="A3" s="972"/>
      <c r="B3" s="973"/>
      <c r="C3" s="973"/>
      <c r="D3" s="973"/>
      <c r="E3" s="973"/>
      <c r="F3" s="975" t="s">
        <v>88</v>
      </c>
      <c r="G3" s="975"/>
      <c r="H3" s="971">
        <v>42705</v>
      </c>
      <c r="I3" s="970"/>
      <c r="J3" s="41"/>
    </row>
    <row r="4" spans="1:11" ht="18.600000000000001" customHeight="1">
      <c r="A4" s="972"/>
      <c r="B4" s="970" t="s">
        <v>93</v>
      </c>
      <c r="C4" s="970"/>
      <c r="D4" s="970"/>
      <c r="E4" s="970"/>
      <c r="F4" s="975" t="s">
        <v>87</v>
      </c>
      <c r="G4" s="975"/>
      <c r="H4" s="970" t="s">
        <v>85</v>
      </c>
      <c r="I4" s="970"/>
      <c r="J4" s="41"/>
    </row>
    <row r="5" spans="1:11" ht="34.9" customHeight="1">
      <c r="A5" s="43"/>
      <c r="B5" s="43"/>
      <c r="C5" s="43"/>
      <c r="D5" s="43"/>
      <c r="E5" s="43"/>
      <c r="F5" s="43"/>
      <c r="G5" s="43"/>
      <c r="H5" s="43"/>
      <c r="I5" s="43"/>
      <c r="J5" s="41"/>
    </row>
    <row r="6" spans="1:11" ht="19.149999999999999" customHeight="1">
      <c r="A6" s="962" t="s">
        <v>1</v>
      </c>
      <c r="B6" s="962"/>
      <c r="C6" s="51">
        <f>DATOS!$E$10</f>
        <v>0</v>
      </c>
      <c r="D6" s="181" t="s">
        <v>92</v>
      </c>
      <c r="E6" s="974">
        <f>DATOS!E12</f>
        <v>0</v>
      </c>
      <c r="F6" s="974"/>
      <c r="G6" s="962" t="s">
        <v>86</v>
      </c>
      <c r="H6" s="962"/>
      <c r="I6" s="52">
        <f>DATOS!I12</f>
        <v>0</v>
      </c>
      <c r="J6" s="41"/>
    </row>
    <row r="7" spans="1:11" ht="19.149999999999999" customHeight="1">
      <c r="A7" s="962" t="s">
        <v>94</v>
      </c>
      <c r="B7" s="962"/>
      <c r="C7" s="963" t="s">
        <v>101</v>
      </c>
      <c r="D7" s="963"/>
      <c r="E7" s="963"/>
      <c r="F7" s="963"/>
      <c r="G7" s="963"/>
      <c r="H7" s="963"/>
      <c r="I7" s="963"/>
      <c r="J7" s="41"/>
    </row>
    <row r="8" spans="1:11" ht="19.149999999999999" customHeight="1">
      <c r="A8" s="962" t="s">
        <v>95</v>
      </c>
      <c r="B8" s="962"/>
      <c r="C8" s="963" t="s">
        <v>102</v>
      </c>
      <c r="D8" s="963"/>
      <c r="E8" s="963"/>
      <c r="F8" s="963"/>
      <c r="G8" s="963"/>
      <c r="H8" s="963"/>
      <c r="I8" s="963"/>
      <c r="J8" s="41"/>
    </row>
    <row r="9" spans="1:11" ht="19.149999999999999" customHeight="1">
      <c r="A9" s="962" t="str">
        <f>IF(INICIO!C6="CONTRATO DE OBRA",("INTERVENTOR"),("SUPERVISOR"))</f>
        <v>SUPERVISOR</v>
      </c>
      <c r="B9" s="962"/>
      <c r="C9" s="963">
        <f>LOOKUP(A9,DATOS!C24:C30,DATOS!G24:G30)</f>
        <v>0</v>
      </c>
      <c r="D9" s="963"/>
      <c r="E9" s="963"/>
      <c r="F9" s="963"/>
      <c r="G9" s="963"/>
      <c r="H9" s="963"/>
      <c r="I9" s="963"/>
      <c r="K9" s="329" t="str">
        <f>LOOKUP(A9,DATOS!C24:C30,DATOS!M24:M30)</f>
        <v>la</v>
      </c>
    </row>
    <row r="10" spans="1:11" ht="19.149999999999999" customHeight="1">
      <c r="A10" s="962" t="s">
        <v>95</v>
      </c>
      <c r="B10" s="962"/>
      <c r="C10" s="963">
        <f>IF(A9=DATOS!C24,DATOS!E26,DATOS!E32)</f>
        <v>0</v>
      </c>
      <c r="D10" s="963"/>
      <c r="E10" s="963"/>
      <c r="F10" s="963"/>
      <c r="G10" s="963"/>
      <c r="H10" s="963"/>
      <c r="I10" s="963"/>
      <c r="K10" s="329"/>
    </row>
    <row r="11" spans="1:11" ht="19.149999999999999" customHeight="1">
      <c r="A11" s="962" t="s">
        <v>5</v>
      </c>
      <c r="B11" s="962"/>
      <c r="C11" s="963" t="str">
        <f>IF(DATOS!G28&gt;0,DATOS!G28,"N/A")</f>
        <v>N/A</v>
      </c>
      <c r="D11" s="963"/>
      <c r="E11" s="963"/>
      <c r="F11" s="963"/>
      <c r="G11" s="963"/>
      <c r="H11" s="963"/>
      <c r="I11" s="963"/>
      <c r="K11" s="329"/>
    </row>
    <row r="12" spans="1:11" ht="19.149999999999999" customHeight="1">
      <c r="A12" s="962" t="s">
        <v>107</v>
      </c>
      <c r="B12" s="962"/>
      <c r="C12" s="963">
        <f>DATOS!G16</f>
        <v>0</v>
      </c>
      <c r="D12" s="963"/>
      <c r="E12" s="963"/>
      <c r="F12" s="963"/>
      <c r="G12" s="963"/>
      <c r="H12" s="963"/>
      <c r="I12" s="963"/>
      <c r="K12" s="329" t="str">
        <f>DATOS!M16</f>
        <v>la</v>
      </c>
    </row>
    <row r="13" spans="1:11" ht="19.149999999999999" customHeight="1">
      <c r="A13" s="962" t="s">
        <v>95</v>
      </c>
      <c r="B13" s="962"/>
      <c r="C13" s="965">
        <f>DATOS!E18</f>
        <v>0</v>
      </c>
      <c r="D13" s="966"/>
      <c r="E13" s="966"/>
      <c r="F13" s="966"/>
      <c r="G13" s="966"/>
      <c r="H13" s="966"/>
      <c r="I13" s="967"/>
      <c r="K13" s="329"/>
    </row>
    <row r="14" spans="1:11" ht="19.149999999999999" customHeight="1">
      <c r="A14" s="962" t="s">
        <v>5</v>
      </c>
      <c r="B14" s="962"/>
      <c r="C14" s="963" t="str">
        <f>IF(DATOS!G20&gt;0,DATOS!G20,"N/A")</f>
        <v>N/A</v>
      </c>
      <c r="D14" s="963"/>
      <c r="E14" s="963"/>
      <c r="F14" s="963"/>
      <c r="G14" s="963"/>
      <c r="H14" s="963"/>
      <c r="I14" s="963"/>
      <c r="K14" s="329" t="str">
        <f>DATOS!M20</f>
        <v>la</v>
      </c>
    </row>
    <row r="15" spans="1:11" ht="78.599999999999994" customHeight="1">
      <c r="A15" s="962" t="s">
        <v>8</v>
      </c>
      <c r="B15" s="962"/>
      <c r="C15" s="968">
        <f>DATOS!E38</f>
        <v>0</v>
      </c>
      <c r="D15" s="968"/>
      <c r="E15" s="968"/>
      <c r="F15" s="968"/>
      <c r="G15" s="968"/>
      <c r="H15" s="968"/>
      <c r="I15" s="968"/>
    </row>
    <row r="16" spans="1:11" ht="19.149999999999999" customHeight="1">
      <c r="A16" s="962" t="s">
        <v>12</v>
      </c>
      <c r="B16" s="962"/>
      <c r="C16" s="969">
        <f>DATOS!E46</f>
        <v>0</v>
      </c>
      <c r="D16" s="969"/>
      <c r="E16" s="969"/>
      <c r="F16" s="969"/>
      <c r="G16" s="969"/>
      <c r="H16" s="969"/>
      <c r="I16" s="969"/>
    </row>
    <row r="17" spans="1:10" ht="19.149999999999999" customHeight="1">
      <c r="A17" s="962" t="s">
        <v>11</v>
      </c>
      <c r="B17" s="962"/>
      <c r="C17" s="963" t="str">
        <f>CONCATENATE(DATOS!E44,DATOS!F44,DATOS!G44)</f>
        <v xml:space="preserve"> </v>
      </c>
      <c r="D17" s="963"/>
      <c r="E17" s="963"/>
      <c r="F17" s="963"/>
      <c r="G17" s="963"/>
      <c r="H17" s="963"/>
      <c r="I17" s="963"/>
    </row>
    <row r="18" spans="1:10" ht="24" customHeight="1">
      <c r="A18" s="53"/>
      <c r="B18" s="53"/>
      <c r="C18" s="53"/>
      <c r="D18" s="53"/>
      <c r="E18" s="53"/>
      <c r="F18" s="53"/>
      <c r="G18" s="53"/>
      <c r="H18" s="53"/>
      <c r="I18" s="53"/>
    </row>
    <row r="19" spans="1:10" ht="81" customHeight="1">
      <c r="A19" s="961" t="str">
        <f>IF(DATOS!E16="Persona Jurídica",IF(DATOS!E24="Persona Jurídica","En Popayán el día "&amp;IF((TEXT(DATOS!E52,"d"))="1",("Uno" &amp;" ("&amp;TEXT(DATOS!E52,"dd")&amp;") del mes de "&amp;TEXT(DATOS!E52,"mmmm")&amp;" de "&amp;TEXT(DATOS!E52,"yyyy")&amp;", se reunieron "&amp;DATOS!M28&amp;"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con el fin de dar inicio al contrato en referencia."),LETRAS(TEXT(DATOS!E52,"d"))&amp;" ("&amp;TEXT(DATOS!E52,"dd")&amp;") del mes de "&amp;TEXT(DATOS!E52,"mmmm")&amp;" de "&amp;TEXT(DATOS!E52,"yyyy")&amp;", se reunieron "&amp;DATOS!M28&amp;"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con el fin de dar inicio al contrato en referencia."),"En Popayán el día "&amp;IF((TEXT(DATOS!E52,"d"))="1",("Uno" &amp;" ("&amp;TEXT(DATOS!E52,"dd")&amp;") del mes de "&amp;TEXT(DATOS!E52,"mmmm")&amp;" de "&amp;TEXT(DATOS!E52,"yyyy")&amp;", se reunieron "&amp;K9&amp;" "&amp;DATOS!E24&amp;" "&amp;C9&amp;", en calidad de "&amp;A9&amp;" del "&amp;DATOS!E10&amp;" No. "&amp;DATOS!E12&amp;" "&amp;DATOS!G12&amp;" "&amp;DATOS!I12&amp;", por una parte, y por la otra "&amp;K14&amp;" "&amp;DATOS!E20&amp;" "&amp;C14&amp;" Representante legal de "&amp;C12&amp;" en calidad de "&amp;A12&amp;", con el fin de dar inicio al contrato en referencia."),LETRAS(TEXT(DATOS!E52,"d"))&amp;" ("&amp;TEXT(DATOS!E52,"dd")&amp;") del mes de "&amp;TEXT(DATOS!E52,"mmmm")&amp;" de "&amp;TEXT(DATOS!E52,"yyyy")&amp;", se reunieron "&amp;K9&amp;" "&amp;DATOS!E24&amp;" "&amp;C9&amp;", en calidad de "&amp;A9&amp;" del "&amp;DATOS!E10&amp;" No. "&amp;DATOS!E12&amp;" "&amp;DATOS!G12&amp;" "&amp;DATOS!I12&amp;", por una parte, y por la otra "&amp;K14&amp;" "&amp;DATOS!E20&amp;" "&amp;C14&amp;" Representante legal de "&amp;C12&amp;" en calidad de "&amp;A12&amp;", con el fin de dar inicio al contrato en referencia.")),IF(DATOS!E24="Persona Jurídica","En Popayán el día "&amp;IF((TEXT(DATOS!E52,"d"))="1",("Uno" &amp;" ("&amp;TEXT(DATOS!E52,"dd")&amp;") del mes de "&amp;TEXT(DATOS!E52,"mmmm")&amp;" de "&amp;TEXT(DATOS!E52,"yyyy")&amp;", se reunieron "&amp;DATOS!M28&amp;" "&amp;DATOS!E28&amp;" "&amp;DATOS!G28&amp;" Representante legal de "&amp;C9&amp;" en calidad de "&amp;A9&amp;" del "&amp;DATOS!E10&amp;" No. "&amp;DATOS!E12&amp;" "&amp;DATOS!G12&amp;" "&amp;DATOS!I12&amp;", por una parte, y por la otra "&amp;K12&amp;" "&amp;DATOS!E16&amp;" "&amp;C12&amp;" en calidad de "&amp;A12&amp;", con el fin de dar inicio al contrato en referencia."),LETRAS(TEXT(DATOS!E52,"d"))&amp;" ("&amp;TEXT(DATOS!E52,"dd")&amp;") del mes de "&amp;TEXT(DATOS!E52,"mmmm")&amp;" de "&amp;TEXT(DATOS!E52,"yyyy")&amp;", se reunieron "&amp;DATOS!M28&amp;" "&amp;DATOS!E28&amp;" "&amp;DATOS!G28&amp;" Representante legal de "&amp;C9&amp;" en calidad de "&amp;A9&amp;" del "&amp;DATOS!E10&amp;" No. "&amp;DATOS!E12&amp;" "&amp;DATOS!G12&amp;" "&amp;DATOS!I12&amp;", por una parte, y por la otra "&amp;K12&amp;" "&amp;DATOS!E16&amp;" "&amp;C12&amp;" en calidad de "&amp;A12&amp;", con el fin de dar inicio al contrato en referencia."),"En Popayán el día "&amp;IF((TEXT(DATOS!E52,"d"))="1",("Uno" &amp;" ("&amp;TEXT(DATOS!E52,"dd")&amp;") del mes de "&amp;TEXT(DATOS!E52,"mmmm")&amp;" de "&amp;TEXT(DATOS!E52,"yyyy")&amp;", se reunieron "&amp;K9&amp;" "&amp;DATOS!E24&amp;" "&amp;C9&amp;", en calidad de "&amp;A9&amp;" del "&amp;DATOS!E10&amp;" No. "&amp;DATOS!E12&amp;" "&amp;DATOS!G12&amp;" "&amp;DATOS!I12&amp;", por una parte, y por la otra "&amp;K12&amp;" "&amp;DATOS!E16&amp;" "&amp;C12&amp;" en calidad de "&amp;A12&amp;", con el fin de dar inicio al contrato en referencia."),LETRAS(TEXT(DATOS!E52,"d"))&amp;" ("&amp;TEXT(DATOS!E52,"dd")&amp;") del mes de "&amp;TEXT(DATOS!E52,"mmmm")&amp;" de "&amp;TEXT(DATOS!E52,"yyyy")&amp;", se reunieron "&amp;K9&amp;" "&amp;DATOS!E24&amp;" "&amp;C9&amp;", en calidad de "&amp;A9&amp;" del "&amp;DATOS!E10&amp;" No. "&amp;DATOS!E12&amp;" "&amp;DATOS!G12&amp;" "&amp;DATOS!I12&amp;", por una parte, y por la otra "&amp;K12&amp;" "&amp;DATOS!E16&amp;" "&amp;C12&amp;" en calidad de "&amp;A12&amp;", con el fin de dar inicio al contrato en referencia.")))</f>
        <v>En Popayán el día Cero (00) del mes de January de 1900, se reunieron la  0, en calidad de SUPERVISOR del  No.   , por una parte, y por la otra la  0 en calidad de CONTRATISTA, con el fin de dar inicio al contrato en referencia.</v>
      </c>
      <c r="B19" s="961"/>
      <c r="C19" s="961"/>
      <c r="D19" s="961"/>
      <c r="E19" s="961"/>
      <c r="F19" s="961"/>
      <c r="G19" s="961"/>
      <c r="H19" s="961"/>
      <c r="I19" s="961"/>
      <c r="J19" s="50"/>
    </row>
    <row r="20" spans="1:10" s="331" customFormat="1" ht="15">
      <c r="A20" s="330"/>
      <c r="B20" s="330"/>
      <c r="C20" s="330"/>
      <c r="D20" s="330"/>
      <c r="E20" s="330"/>
      <c r="F20" s="330"/>
      <c r="G20" s="330"/>
      <c r="H20" s="330"/>
      <c r="I20" s="330"/>
    </row>
    <row r="21" spans="1:10" ht="15">
      <c r="A21" s="964" t="str">
        <f>"Para constancia se firma en Popayán (Cauca) el día "&amp;IF((TEXT(DATOS!E52,"d"))="1",("Uno"&amp;" ("&amp;TEXT(DATOS!E52,"dd")&amp;") del mes de "&amp;TEXT(DATOS!E52,"mmmm")&amp;" de "&amp;LETRAS(TEXT(DATOS!E52,"YYYY"))&amp;" ("&amp;TEXT(DATOS!E52,"yyyy"))&amp;").",LETRAS(TEXT(DATOS!E52,"d"))&amp;" ("&amp;TEXT(DATOS!E52,"dd")&amp;") del mes de "&amp;TEXT(DATOS!E52,"mmmm")&amp;" de "&amp;LETRAS(TEXT(DATOS!E52,"YYYY"))&amp;" ("&amp;TEXT(DATOS!E52,"yyyy")&amp;").")</f>
        <v>Para constancia se firma en Popayán (Cauca) el día Cero (00) del mes de January de Mil Novecientos (1900).</v>
      </c>
      <c r="B21" s="964"/>
      <c r="C21" s="964"/>
      <c r="D21" s="964"/>
      <c r="E21" s="964"/>
      <c r="F21" s="964"/>
      <c r="G21" s="964"/>
      <c r="H21" s="964"/>
      <c r="I21" s="964"/>
    </row>
    <row r="22" spans="1:10" ht="13.9" customHeight="1">
      <c r="A22" s="961"/>
      <c r="B22" s="961"/>
      <c r="C22" s="961"/>
      <c r="D22" s="961"/>
      <c r="E22" s="961"/>
      <c r="F22" s="961"/>
      <c r="G22" s="961"/>
      <c r="H22" s="961"/>
      <c r="I22" s="961"/>
      <c r="J22" s="50"/>
    </row>
    <row r="23" spans="1:10" ht="15">
      <c r="A23" s="53"/>
      <c r="B23" s="53"/>
      <c r="C23" s="53"/>
      <c r="D23" s="53"/>
      <c r="E23" s="53"/>
      <c r="F23" s="53"/>
      <c r="G23" s="53"/>
      <c r="H23" s="53"/>
      <c r="I23" s="53"/>
    </row>
    <row r="24" spans="1:10" ht="15">
      <c r="A24" s="53"/>
      <c r="B24" s="53"/>
      <c r="C24" s="53"/>
      <c r="D24" s="53"/>
      <c r="E24" s="53"/>
      <c r="F24" s="53"/>
      <c r="G24" s="53"/>
      <c r="H24" s="53"/>
      <c r="I24" s="53"/>
    </row>
    <row r="25" spans="1:10" ht="15">
      <c r="A25" s="53"/>
      <c r="B25" s="53"/>
      <c r="C25" s="53"/>
      <c r="D25" s="53"/>
      <c r="E25" s="53"/>
      <c r="F25" s="53"/>
      <c r="G25" s="53"/>
      <c r="H25" s="53"/>
      <c r="I25" s="53"/>
    </row>
    <row r="26" spans="1:10" ht="15">
      <c r="A26" s="53"/>
      <c r="B26" s="53"/>
      <c r="C26" s="53"/>
      <c r="D26" s="53"/>
      <c r="E26" s="53"/>
      <c r="F26" s="53"/>
      <c r="G26" s="53"/>
      <c r="H26" s="53"/>
      <c r="I26" s="53"/>
    </row>
    <row r="27" spans="1:10" ht="15">
      <c r="A27" s="53"/>
      <c r="B27" s="53"/>
      <c r="C27" s="53"/>
      <c r="D27" s="53"/>
      <c r="E27" s="53"/>
      <c r="F27" s="53"/>
      <c r="G27" s="53"/>
      <c r="H27" s="53"/>
      <c r="I27" s="53"/>
    </row>
    <row r="28" spans="1:10" ht="15">
      <c r="A28" s="53"/>
      <c r="B28" s="53"/>
      <c r="C28" s="53"/>
      <c r="D28" s="53"/>
      <c r="E28" s="53"/>
      <c r="F28" s="53"/>
      <c r="G28" s="53"/>
      <c r="H28" s="53"/>
      <c r="I28" s="53"/>
    </row>
    <row r="29" spans="1:10" ht="15">
      <c r="A29" s="53"/>
      <c r="B29" s="53"/>
      <c r="C29" s="53"/>
      <c r="D29" s="53"/>
      <c r="E29" s="53"/>
      <c r="F29" s="53"/>
      <c r="G29" s="53"/>
      <c r="H29" s="53"/>
      <c r="I29" s="53"/>
    </row>
    <row r="30" spans="1:10" ht="15">
      <c r="A30" s="53"/>
      <c r="B30" s="53"/>
      <c r="C30" s="53"/>
      <c r="D30" s="53"/>
      <c r="E30" s="53"/>
      <c r="F30" s="53"/>
      <c r="G30" s="53"/>
      <c r="H30" s="53"/>
      <c r="I30" s="53"/>
    </row>
    <row r="31" spans="1:10" ht="15">
      <c r="A31" s="53"/>
      <c r="B31" s="53"/>
      <c r="C31" s="53"/>
      <c r="D31" s="53"/>
      <c r="E31" s="53"/>
      <c r="F31" s="53"/>
      <c r="G31" s="53"/>
      <c r="H31" s="53"/>
      <c r="I31" s="53"/>
    </row>
    <row r="32" spans="1:10" ht="15">
      <c r="A32" s="53"/>
      <c r="B32" s="53"/>
      <c r="C32" s="53"/>
      <c r="D32" s="53"/>
      <c r="E32" s="53"/>
      <c r="F32" s="53"/>
      <c r="G32" s="53"/>
      <c r="H32" s="53"/>
      <c r="I32" s="53"/>
      <c r="J32" s="50"/>
    </row>
    <row r="33" spans="1:9" ht="15.75">
      <c r="A33" s="54">
        <f>IF(DATOS!E16="Persona Jurídica",DATOS!G20,DATOS!G16)</f>
        <v>0</v>
      </c>
      <c r="C33" s="53"/>
      <c r="D33" s="53"/>
      <c r="E33" s="53"/>
      <c r="F33" s="54">
        <f>IF(DATOS!E10="CONTRATO DE OBRA",IF(DATOS!E24="Persona Jurídica",DATOS!G28,DATOS!G24),DATOS!G30)</f>
        <v>0</v>
      </c>
      <c r="G33" s="53"/>
      <c r="H33" s="53"/>
      <c r="I33" s="53"/>
    </row>
    <row r="34" spans="1:9" ht="15">
      <c r="A34" s="55" t="str">
        <f>IF(DATOS!E16="Persona Jurídica",DATOS!G16,"Contratista")</f>
        <v>Contratista</v>
      </c>
      <c r="C34" s="53"/>
      <c r="D34" s="53"/>
      <c r="E34" s="53"/>
      <c r="F34" s="55" t="str">
        <f>IF(DATOS!E24="Persona Jurídica",DATOS!G24,"Interventor")</f>
        <v>Interventor</v>
      </c>
      <c r="G34" s="53"/>
      <c r="H34" s="53"/>
      <c r="I34" s="53"/>
    </row>
    <row r="35" spans="1:9" ht="15">
      <c r="A35" s="55" t="str">
        <f>IF(DATOS!E16="Persona jurídica","Contratista"," ")</f>
        <v xml:space="preserve"> </v>
      </c>
      <c r="C35" s="53"/>
      <c r="D35" s="53"/>
      <c r="E35" s="53"/>
      <c r="F35" s="55" t="str">
        <f>IF(DATOS!E24="Persona jurídica","Interventor"," ")</f>
        <v xml:space="preserve"> </v>
      </c>
      <c r="G35" s="53"/>
      <c r="H35" s="53"/>
      <c r="I35" s="53"/>
    </row>
    <row r="36" spans="1:9" ht="15">
      <c r="A36" s="53"/>
      <c r="B36" s="55"/>
      <c r="C36" s="53"/>
      <c r="D36" s="53"/>
      <c r="E36" s="53"/>
      <c r="F36" s="55"/>
      <c r="G36" s="53"/>
      <c r="H36" s="53"/>
      <c r="I36" s="53"/>
    </row>
    <row r="37" spans="1:9">
      <c r="A37" s="44"/>
      <c r="B37" s="44"/>
      <c r="C37" s="44"/>
      <c r="D37" s="44"/>
      <c r="E37" s="44"/>
      <c r="F37" s="44"/>
      <c r="G37" s="44"/>
      <c r="H37" s="44"/>
      <c r="I37" s="44"/>
    </row>
    <row r="38" spans="1:9">
      <c r="A38" s="901" t="s">
        <v>1149</v>
      </c>
      <c r="B38" s="44"/>
      <c r="C38" s="44"/>
      <c r="D38" s="44"/>
      <c r="E38" s="44"/>
      <c r="F38" s="44"/>
      <c r="G38" s="44"/>
      <c r="H38" s="44"/>
      <c r="I38" s="44"/>
    </row>
    <row r="39" spans="1:9">
      <c r="A39" s="901" t="s">
        <v>1150</v>
      </c>
      <c r="B39" s="44"/>
      <c r="C39" s="44"/>
      <c r="D39" s="44"/>
      <c r="E39" s="44"/>
      <c r="F39" s="44"/>
      <c r="G39" s="44"/>
      <c r="H39" s="44"/>
      <c r="I39" s="44"/>
    </row>
    <row r="40" spans="1:9">
      <c r="A40" s="901" t="s">
        <v>1151</v>
      </c>
      <c r="B40" s="44"/>
      <c r="C40" s="44"/>
      <c r="D40" s="44"/>
      <c r="E40" s="44"/>
      <c r="F40" s="44"/>
      <c r="G40" s="44"/>
      <c r="H40" s="44"/>
      <c r="I40" s="44"/>
    </row>
    <row r="41" spans="1:9">
      <c r="B41" s="44"/>
      <c r="C41" s="44"/>
      <c r="D41" s="44"/>
      <c r="E41" s="44"/>
      <c r="F41" s="44"/>
      <c r="G41" s="44"/>
      <c r="H41" s="44"/>
      <c r="I41" s="44"/>
    </row>
    <row r="42" spans="1:9">
      <c r="A42" s="44"/>
      <c r="B42" s="44"/>
      <c r="C42" s="44"/>
      <c r="D42" s="44"/>
      <c r="E42" s="44"/>
      <c r="F42" s="44"/>
      <c r="G42" s="44"/>
      <c r="H42" s="44"/>
      <c r="I42" s="44"/>
    </row>
  </sheetData>
  <sheetProtection formatRows="0" insertRows="0" deleteRows="0" selectLockedCells="1"/>
  <mergeCells count="39">
    <mergeCell ref="A1:A4"/>
    <mergeCell ref="B1:E3"/>
    <mergeCell ref="B4:E4"/>
    <mergeCell ref="E6:F6"/>
    <mergeCell ref="F1:G1"/>
    <mergeCell ref="F2:G2"/>
    <mergeCell ref="F3:G3"/>
    <mergeCell ref="F4:G4"/>
    <mergeCell ref="A6:B6"/>
    <mergeCell ref="H1:I1"/>
    <mergeCell ref="H2:I2"/>
    <mergeCell ref="H3:I3"/>
    <mergeCell ref="H4:I4"/>
    <mergeCell ref="G6:H6"/>
    <mergeCell ref="A12:B12"/>
    <mergeCell ref="A8:B8"/>
    <mergeCell ref="A9:B9"/>
    <mergeCell ref="A10:B10"/>
    <mergeCell ref="C7:I7"/>
    <mergeCell ref="C8:I8"/>
    <mergeCell ref="C9:I9"/>
    <mergeCell ref="C10:I10"/>
    <mergeCell ref="A7:B7"/>
    <mergeCell ref="A22:I22"/>
    <mergeCell ref="A11:B11"/>
    <mergeCell ref="C11:I11"/>
    <mergeCell ref="C12:I12"/>
    <mergeCell ref="A21:I21"/>
    <mergeCell ref="C13:I13"/>
    <mergeCell ref="C14:I14"/>
    <mergeCell ref="C15:I15"/>
    <mergeCell ref="C16:I16"/>
    <mergeCell ref="C17:I17"/>
    <mergeCell ref="A19:I19"/>
    <mergeCell ref="A13:B13"/>
    <mergeCell ref="A14:B14"/>
    <mergeCell ref="A15:B15"/>
    <mergeCell ref="A16:B16"/>
    <mergeCell ref="A17:B17"/>
  </mergeCells>
  <printOptions horizontalCentered="1"/>
  <pageMargins left="0.78740157480314965" right="0.39370078740157483" top="0.59055118110236227" bottom="1.1811023622047245" header="0.31496062992125984" footer="0.11811023622047245"/>
  <pageSetup scale="82" orientation="portrait" r:id="rId1"/>
  <headerFooter>
    <oddFooter>&amp;L&amp;G&amp;R&amp;G</oddFooter>
  </headerFooter>
  <drawing r:id="rId2"/>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K49"/>
  <sheetViews>
    <sheetView zoomScaleNormal="100" zoomScaleSheetLayoutView="90" workbookViewId="0">
      <selection activeCell="C13" sqref="C13:I13"/>
    </sheetView>
  </sheetViews>
  <sheetFormatPr baseColWidth="10" defaultColWidth="11.5703125" defaultRowHeight="14.25"/>
  <cols>
    <col min="1" max="1" width="22.85546875" style="42" customWidth="1"/>
    <col min="2" max="2" width="8.7109375" style="42" customWidth="1"/>
    <col min="3" max="3" width="37.42578125" style="42" customWidth="1"/>
    <col min="4" max="4" width="7.28515625" style="42" customWidth="1"/>
    <col min="5" max="5" width="2.28515625" style="42" customWidth="1"/>
    <col min="6" max="6" width="8.5703125" style="42" customWidth="1"/>
    <col min="7" max="7" width="6.28515625" style="42" customWidth="1"/>
    <col min="8" max="8" width="4.28515625" style="42" customWidth="1"/>
    <col min="9" max="9" width="11.7109375" style="42" customWidth="1"/>
    <col min="10" max="10" width="11.5703125" style="42" customWidth="1"/>
    <col min="11" max="11" width="0" style="42" hidden="1" customWidth="1"/>
    <col min="12" max="16384" width="11.5703125" style="42"/>
  </cols>
  <sheetData>
    <row r="1" spans="1:11" ht="24.6" customHeight="1">
      <c r="A1" s="972"/>
      <c r="B1" s="973" t="s">
        <v>276</v>
      </c>
      <c r="C1" s="973"/>
      <c r="D1" s="973"/>
      <c r="E1" s="973"/>
      <c r="F1" s="975" t="s">
        <v>90</v>
      </c>
      <c r="G1" s="975"/>
      <c r="H1" s="970" t="s">
        <v>84</v>
      </c>
      <c r="I1" s="970"/>
      <c r="J1" s="41"/>
    </row>
    <row r="2" spans="1:11" ht="24.6" customHeight="1">
      <c r="A2" s="972"/>
      <c r="B2" s="973"/>
      <c r="C2" s="973"/>
      <c r="D2" s="973"/>
      <c r="E2" s="973"/>
      <c r="F2" s="975" t="s">
        <v>89</v>
      </c>
      <c r="G2" s="975"/>
      <c r="H2" s="970">
        <v>1</v>
      </c>
      <c r="I2" s="970"/>
      <c r="J2" s="41"/>
    </row>
    <row r="3" spans="1:11" ht="24.6" customHeight="1">
      <c r="A3" s="972"/>
      <c r="B3" s="970" t="s">
        <v>93</v>
      </c>
      <c r="C3" s="970"/>
      <c r="D3" s="970"/>
      <c r="E3" s="970"/>
      <c r="F3" s="1160" t="s">
        <v>88</v>
      </c>
      <c r="G3" s="1161"/>
      <c r="H3" s="970"/>
      <c r="I3" s="970"/>
      <c r="J3" s="41"/>
    </row>
    <row r="4" spans="1:11" ht="34.9" customHeight="1">
      <c r="A4" s="1019" t="s">
        <v>290</v>
      </c>
      <c r="B4" s="1162"/>
      <c r="C4" s="1162"/>
      <c r="D4" s="1162"/>
      <c r="E4" s="1162"/>
      <c r="F4" s="1162"/>
      <c r="G4" s="1162"/>
      <c r="H4" s="1162"/>
      <c r="I4" s="1162"/>
      <c r="J4" s="41"/>
    </row>
    <row r="5" spans="1:11" ht="3" customHeight="1">
      <c r="A5" s="135"/>
      <c r="B5" s="138"/>
      <c r="C5" s="138"/>
      <c r="D5" s="138"/>
      <c r="E5" s="138"/>
      <c r="F5" s="138"/>
      <c r="G5" s="138"/>
      <c r="H5" s="138"/>
      <c r="I5" s="138"/>
      <c r="J5" s="41"/>
    </row>
    <row r="6" spans="1:11" ht="19.149999999999999" customHeight="1">
      <c r="A6" s="962" t="s">
        <v>1</v>
      </c>
      <c r="B6" s="962"/>
      <c r="C6" s="51">
        <f>DATOS!$E$10</f>
        <v>0</v>
      </c>
      <c r="D6" s="181" t="s">
        <v>92</v>
      </c>
      <c r="E6" s="974">
        <f>DATOS!E12</f>
        <v>0</v>
      </c>
      <c r="F6" s="974"/>
      <c r="G6" s="962" t="s">
        <v>86</v>
      </c>
      <c r="H6" s="962"/>
      <c r="I6" s="136">
        <f>DATOS!I12</f>
        <v>0</v>
      </c>
      <c r="J6" s="41"/>
    </row>
    <row r="7" spans="1:11" ht="19.149999999999999" customHeight="1">
      <c r="A7" s="962" t="s">
        <v>94</v>
      </c>
      <c r="B7" s="962"/>
      <c r="C7" s="963" t="s">
        <v>101</v>
      </c>
      <c r="D7" s="963"/>
      <c r="E7" s="963"/>
      <c r="F7" s="963"/>
      <c r="G7" s="963"/>
      <c r="H7" s="963"/>
      <c r="I7" s="963"/>
      <c r="J7" s="41"/>
    </row>
    <row r="8" spans="1:11" ht="19.149999999999999" customHeight="1">
      <c r="A8" s="962" t="s">
        <v>95</v>
      </c>
      <c r="B8" s="962"/>
      <c r="C8" s="963" t="s">
        <v>102</v>
      </c>
      <c r="D8" s="963"/>
      <c r="E8" s="963"/>
      <c r="F8" s="963"/>
      <c r="G8" s="963"/>
      <c r="H8" s="963"/>
      <c r="I8" s="963"/>
      <c r="J8" s="41"/>
    </row>
    <row r="9" spans="1:11" ht="19.149999999999999" customHeight="1">
      <c r="A9" s="962" t="str">
        <f>IF('SUSP 6'!C6="CONTRATO DE OBRA",("INTERVENTOR"),("SUPERVISOR"))</f>
        <v>SUPERVISOR</v>
      </c>
      <c r="B9" s="962"/>
      <c r="C9" s="963">
        <f>LOOKUP(A9,DATOS!C24:C30,DATOS!G24:G30)</f>
        <v>0</v>
      </c>
      <c r="D9" s="963"/>
      <c r="E9" s="963"/>
      <c r="F9" s="963"/>
      <c r="G9" s="963"/>
      <c r="H9" s="963"/>
      <c r="I9" s="963"/>
      <c r="K9" s="394" t="str">
        <f>LOOKUP(A9,DATOS!C24:C30,DATOS!M24:M30)</f>
        <v>la</v>
      </c>
    </row>
    <row r="10" spans="1:11" ht="19.149999999999999" customHeight="1">
      <c r="A10" s="962" t="s">
        <v>95</v>
      </c>
      <c r="B10" s="962"/>
      <c r="C10" s="963">
        <f>IF(A9=DATOS!C24,DATOS!E26,DATOS!E32)</f>
        <v>0</v>
      </c>
      <c r="D10" s="963"/>
      <c r="E10" s="963"/>
      <c r="F10" s="963"/>
      <c r="G10" s="963"/>
      <c r="H10" s="963"/>
      <c r="I10" s="963"/>
      <c r="K10" s="394"/>
    </row>
    <row r="11" spans="1:11" ht="19.149999999999999" customHeight="1">
      <c r="A11" s="962" t="s">
        <v>5</v>
      </c>
      <c r="B11" s="962"/>
      <c r="C11" s="963" t="str">
        <f>IF(DATOS!G28&gt;0,DATOS!G28,"N/A")</f>
        <v>N/A</v>
      </c>
      <c r="D11" s="963"/>
      <c r="E11" s="963"/>
      <c r="F11" s="963"/>
      <c r="G11" s="963"/>
      <c r="H11" s="963"/>
      <c r="I11" s="963"/>
      <c r="K11" s="394"/>
    </row>
    <row r="12" spans="1:11" ht="19.149999999999999" customHeight="1">
      <c r="A12" s="962" t="s">
        <v>107</v>
      </c>
      <c r="B12" s="962"/>
      <c r="C12" s="963">
        <f>DATOS!G16</f>
        <v>0</v>
      </c>
      <c r="D12" s="963"/>
      <c r="E12" s="963"/>
      <c r="F12" s="963"/>
      <c r="G12" s="963"/>
      <c r="H12" s="963"/>
      <c r="I12" s="963"/>
      <c r="K12" s="394" t="str">
        <f>DATOS!M16</f>
        <v>la</v>
      </c>
    </row>
    <row r="13" spans="1:11" ht="19.149999999999999" customHeight="1">
      <c r="A13" s="962" t="s">
        <v>95</v>
      </c>
      <c r="B13" s="962"/>
      <c r="C13" s="1163">
        <f>DATOS!E18</f>
        <v>0</v>
      </c>
      <c r="D13" s="963"/>
      <c r="E13" s="963"/>
      <c r="F13" s="963"/>
      <c r="G13" s="963"/>
      <c r="H13" s="963"/>
      <c r="I13" s="963"/>
      <c r="K13" s="394"/>
    </row>
    <row r="14" spans="1:11" ht="19.149999999999999" customHeight="1">
      <c r="A14" s="962" t="s">
        <v>5</v>
      </c>
      <c r="B14" s="962"/>
      <c r="C14" s="963" t="str">
        <f>IF(DATOS!G20&gt;0,DATOS!G20,"N/A")</f>
        <v>N/A</v>
      </c>
      <c r="D14" s="963"/>
      <c r="E14" s="963"/>
      <c r="F14" s="963"/>
      <c r="G14" s="963"/>
      <c r="H14" s="963"/>
      <c r="I14" s="963"/>
      <c r="K14" s="394" t="str">
        <f>DATOS!M20</f>
        <v>la</v>
      </c>
    </row>
    <row r="15" spans="1:11" ht="66.599999999999994" customHeight="1">
      <c r="A15" s="962" t="s">
        <v>8</v>
      </c>
      <c r="B15" s="962"/>
      <c r="C15" s="968">
        <f>DATOS!E38</f>
        <v>0</v>
      </c>
      <c r="D15" s="968"/>
      <c r="E15" s="968"/>
      <c r="F15" s="968"/>
      <c r="G15" s="968"/>
      <c r="H15" s="968"/>
      <c r="I15" s="968"/>
    </row>
    <row r="16" spans="1:11" ht="19.149999999999999" customHeight="1">
      <c r="A16" s="962" t="s">
        <v>12</v>
      </c>
      <c r="B16" s="962"/>
      <c r="C16" s="969">
        <f>DATOS!E46</f>
        <v>0</v>
      </c>
      <c r="D16" s="969"/>
      <c r="E16" s="969"/>
      <c r="F16" s="969"/>
      <c r="G16" s="969"/>
      <c r="H16" s="969"/>
      <c r="I16" s="969"/>
    </row>
    <row r="17" spans="1:10" ht="19.149999999999999" customHeight="1">
      <c r="A17" s="962" t="s">
        <v>278</v>
      </c>
      <c r="B17" s="962"/>
      <c r="C17" s="969">
        <f>DATOS!E60</f>
        <v>30000000</v>
      </c>
      <c r="D17" s="969"/>
      <c r="E17" s="969"/>
      <c r="F17" s="969"/>
      <c r="G17" s="969"/>
      <c r="H17" s="969"/>
      <c r="I17" s="969"/>
    </row>
    <row r="18" spans="1:10" ht="19.149999999999999" customHeight="1">
      <c r="A18" s="962" t="s">
        <v>279</v>
      </c>
      <c r="B18" s="962"/>
      <c r="C18" s="969">
        <f>DATOS!E62</f>
        <v>0</v>
      </c>
      <c r="D18" s="969"/>
      <c r="E18" s="969"/>
      <c r="F18" s="969"/>
      <c r="G18" s="969"/>
      <c r="H18" s="969"/>
      <c r="I18" s="969"/>
    </row>
    <row r="19" spans="1:10" ht="19.149999999999999" customHeight="1">
      <c r="A19" s="962" t="s">
        <v>11</v>
      </c>
      <c r="B19" s="962"/>
      <c r="C19" s="963" t="str">
        <f>CONCATENATE(DATOS!E44,DATOS!F44,DATOS!G44)</f>
        <v xml:space="preserve"> </v>
      </c>
      <c r="D19" s="963"/>
      <c r="E19" s="963"/>
      <c r="F19" s="963"/>
      <c r="G19" s="963"/>
      <c r="H19" s="963"/>
      <c r="I19" s="963"/>
    </row>
    <row r="20" spans="1:10" ht="19.149999999999999" customHeight="1">
      <c r="A20" s="962" t="s">
        <v>280</v>
      </c>
      <c r="B20" s="962"/>
      <c r="C20" s="963" t="str">
        <f>IF(DATOS!E64&gt;0,CONCATENATE(DATOS!E64,DATOS!F64,DATOS!G64),0)</f>
        <v>5 MESES</v>
      </c>
      <c r="D20" s="963"/>
      <c r="E20" s="963"/>
      <c r="F20" s="963"/>
      <c r="G20" s="963"/>
      <c r="H20" s="963"/>
      <c r="I20" s="963"/>
    </row>
    <row r="21" spans="1:10" ht="19.149999999999999" customHeight="1">
      <c r="A21" s="962" t="s">
        <v>281</v>
      </c>
      <c r="B21" s="962"/>
      <c r="C21" s="963">
        <f>IF(DATOS!E66&gt;0,CONCATENATE(DATOS!E66,DATOS!F66,DATOS!G66),0)</f>
        <v>0</v>
      </c>
      <c r="D21" s="963"/>
      <c r="E21" s="963"/>
      <c r="F21" s="963"/>
      <c r="G21" s="963"/>
      <c r="H21" s="963"/>
      <c r="I21" s="963"/>
    </row>
    <row r="22" spans="1:10" ht="19.149999999999999" customHeight="1">
      <c r="A22" s="962" t="s">
        <v>282</v>
      </c>
      <c r="B22" s="962"/>
      <c r="C22" s="963">
        <f>IF(DATOS!E68&gt;0,CONCATENATE(DATOS!E68,DATOS!F68,DATOS!G68),0)</f>
        <v>0</v>
      </c>
      <c r="D22" s="963"/>
      <c r="E22" s="963"/>
      <c r="F22" s="963"/>
      <c r="G22" s="963"/>
      <c r="H22" s="963"/>
      <c r="I22" s="963"/>
    </row>
    <row r="23" spans="1:10" ht="27.6" customHeight="1">
      <c r="A23" s="53"/>
      <c r="B23" s="53"/>
      <c r="C23" s="53"/>
      <c r="D23" s="53"/>
      <c r="E23" s="53"/>
      <c r="F23" s="53"/>
      <c r="G23" s="53"/>
      <c r="H23" s="53"/>
      <c r="I23" s="53"/>
    </row>
    <row r="24" spans="1:10" ht="96" customHeight="1">
      <c r="A24" s="961" t="str">
        <f>IF(DATOS!E16="Persona Jurídica",IF(DATOS!E24="Persona Jurídica","En Popayán el día "&amp;IF((TEXT(DATOS!E102,"d"))="1",("Uno" &amp;" ("&amp;TEXT(DATOS!E102,"dd")&amp;") del mes de "&amp;TEXT(DATOS!E102,"mmmm")&amp;" de "&amp;TEXT(DATOS!E102,"yyyy")&amp;", se reunieron "&amp;DATOS!M28&amp;"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referencia."),LETRAS(TEXT(DATOS!E102,"d"))&amp;" ("&amp;TEXT(DATOS!E102,"dd")&amp;") del mes de "&amp;TEXT(DATOS!E102,"mmmm")&amp;" de "&amp;TEXT(DATOS!E102,"yyyy")&amp;", se reunieron "&amp;DATOS!M28&amp;"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referencia."),"En Popayán el día "&amp;IF((TEXT(DATOS!E102,"d"))="1",("Uno" &amp;" ("&amp;TEXT(DATOS!E102,"dd")&amp;") del mes de "&amp;TEXT(DATOS!E102,"mmmm")&amp;" de "&amp;TEXT(DATOS!E102,"yyyy")&amp;", se reunieron "&amp;K9&amp;"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referencia."),LETRAS(TEXT(DATOS!E102,"d"))&amp;" ("&amp;TEXT(DATOS!E102,"dd")&amp;") del mes de "&amp;TEXT(DATOS!E102,"mmmm")&amp;" de "&amp;TEXT(DATOS!E102,"yyyy")&amp;", se reunieron "&amp;K9&amp;"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referencia.")),IF(DATOS!E24="Persona Jurídica","En Popayán el día "&amp;IF((TEXT(DATOS!E102,"d"))="1",("Uno" &amp;" ("&amp;TEXT(DATOS!E102,"dd")&amp;") del mes de "&amp;TEXT(DATOS!E102,"mmmm")&amp;" de "&amp;TEXT(DATOS!E102,"yyyy")&amp;", se reunieron "&amp;DATOS!M28&amp;"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referencia."),LETRAS(TEXT(DATOS!E102,"d"))&amp;" ("&amp;TEXT(DATOS!E102,"dd")&amp;") del mes de "&amp;TEXT(DATOS!E102,"mmmm")&amp;" de "&amp;TEXT(DATOS!E102,"yyyy")&amp;", se reunieron "&amp;DATOS!M28&amp;"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referencia."),"En Popayán el día "&amp;IF((TEXT(DATOS!E102,"d"))="1",("Uno" &amp;" ("&amp;TEXT(DATOS!E102,"dd")&amp;") del mes de "&amp;TEXT(DATOS!E102,"mmmm")&amp;" de "&amp;TEXT(DATOS!E102,"yyyy")&amp;", se reunieron "&amp;K9&amp;" "&amp;DATOS!E24&amp;" "&amp;C9&amp;", en calidad de "&amp;A9&amp;" del "&amp;DATOS!E10&amp;" No. "&amp;DATOS!E12&amp;" "&amp;DATOS!G12&amp;" "&amp;DATOS!I12&amp;", por una parte, y por la otra "&amp;K12&amp;" "&amp;DATOS!E16&amp;" "&amp;C12&amp;" en calidad de "&amp;A12&amp;", para acordar la suspensión del contrato en referencia."),LETRAS(TEXT(DATOS!E102,"d"))&amp;" ("&amp;TEXT(DATOS!E102,"dd")&amp;") del mes de "&amp;TEXT(DATOS!E102,"mmmm")&amp;" de "&amp;TEXT(DATOS!E102,"yyyy")&amp;", se reunieron "&amp;K9&amp;" "&amp;DATOS!E24&amp;" "&amp;C9&amp;", en calidad de "&amp;A9&amp;" del "&amp;DATOS!E10&amp;" No. "&amp;DATOS!E12&amp;" "&amp;DATOS!G12&amp;" "&amp;DATOS!I12&amp;", por una parte, y por la otra "&amp;K12&amp;" "&amp;DATOS!E16&amp;" "&amp;C12&amp;" en calidad de "&amp;A12&amp;", para acordar la suspensión del contrato en referencia.")))</f>
        <v>En Popayán el día Cero (00) del mes de January de 1900, se reunieron la  0, en calidad de SUPERVISOR del  No.   , por una parte, y por la otra la  0 en calidad de CONTRATISTA, para acordar la suspensión del contrato en referencia.</v>
      </c>
      <c r="B24" s="961"/>
      <c r="C24" s="961"/>
      <c r="D24" s="961"/>
      <c r="E24" s="961"/>
      <c r="F24" s="961"/>
      <c r="G24" s="961"/>
      <c r="H24" s="961"/>
      <c r="I24" s="961"/>
      <c r="J24" s="50"/>
    </row>
    <row r="25" spans="1:10" ht="15.75">
      <c r="A25" s="1165" t="s">
        <v>283</v>
      </c>
      <c r="B25" s="1165"/>
      <c r="C25" s="1165"/>
      <c r="D25" s="1165"/>
      <c r="E25" s="1165"/>
      <c r="F25" s="1165"/>
      <c r="G25" s="1165"/>
      <c r="H25" s="1165"/>
      <c r="I25" s="1165"/>
      <c r="J25" s="50"/>
    </row>
    <row r="26" spans="1:10" ht="15">
      <c r="A26" s="137"/>
      <c r="B26" s="137"/>
      <c r="C26" s="137"/>
      <c r="D26" s="137"/>
      <c r="E26" s="137"/>
      <c r="F26" s="137"/>
      <c r="G26" s="137"/>
      <c r="H26" s="137"/>
      <c r="I26" s="137"/>
      <c r="J26" s="50"/>
    </row>
    <row r="27" spans="1:10" ht="72.599999999999994" customHeight="1">
      <c r="A27" s="961" t="str">
        <f>"PRIMERO. - De común acuerdo suspender temporalmente el "&amp;DATOS!E10&amp;" No. "&amp;DATOS!E12&amp;" "&amp;DATOS!G12&amp;" "&amp;DATOS!I12&amp;", cuyo objeto es "&amp;DATOS!E38&amp;", teniendo en cuenta las siguientes consideraciones que han impedido la ejecución del mencionado contrato:"</f>
        <v>PRIMERO. - De común acuerdo suspender temporalmente el  No.   , cuyo objeto es , teniendo en cuenta las siguientes consideraciones que han impedido la ejecución del mencionado contrato:</v>
      </c>
      <c r="B27" s="961"/>
      <c r="C27" s="961"/>
      <c r="D27" s="961"/>
      <c r="E27" s="961"/>
      <c r="F27" s="961"/>
      <c r="G27" s="961"/>
      <c r="H27" s="961"/>
      <c r="I27" s="961"/>
      <c r="J27" s="50"/>
    </row>
    <row r="28" spans="1:10" ht="15">
      <c r="A28" s="1166" t="s">
        <v>335</v>
      </c>
      <c r="B28" s="961"/>
      <c r="C28" s="961"/>
      <c r="D28" s="961"/>
      <c r="E28" s="961"/>
      <c r="F28" s="961"/>
      <c r="G28" s="961"/>
      <c r="H28" s="961"/>
      <c r="I28" s="961"/>
      <c r="J28" s="50"/>
    </row>
    <row r="29" spans="1:10" ht="18.600000000000001" customHeight="1">
      <c r="A29" s="137"/>
      <c r="B29" s="137"/>
      <c r="C29" s="137"/>
      <c r="D29" s="137"/>
      <c r="E29" s="137"/>
      <c r="F29" s="137"/>
      <c r="G29" s="137"/>
      <c r="H29" s="137"/>
      <c r="I29" s="137"/>
      <c r="J29" s="50"/>
    </row>
    <row r="30" spans="1:10" ht="97.9" customHeight="1">
      <c r="A30" s="961" t="s">
        <v>284</v>
      </c>
      <c r="B30" s="961"/>
      <c r="C30" s="961"/>
      <c r="D30" s="961"/>
      <c r="E30" s="961"/>
      <c r="F30" s="961"/>
      <c r="G30" s="961"/>
      <c r="H30" s="961"/>
      <c r="I30" s="961"/>
      <c r="J30" s="50"/>
    </row>
    <row r="31" spans="1:10" ht="15">
      <c r="A31" s="53"/>
      <c r="B31" s="53"/>
      <c r="C31" s="53"/>
      <c r="D31" s="53"/>
      <c r="E31" s="53"/>
      <c r="F31" s="53"/>
      <c r="G31" s="53"/>
      <c r="H31" s="53"/>
      <c r="I31" s="53"/>
    </row>
    <row r="32" spans="1:10" ht="31.9" customHeight="1">
      <c r="A32" s="964" t="str">
        <f>"Para constancia de lo anterior, se firma en Popayán (Cauca) el día "&amp;IF((TEXT(DATOS!E102,"d"))="1",("Uno"&amp;" ("&amp;TEXT(DATOS!E102,"dd")&amp;") del mes de "&amp;TEXT(DATOS!E102,"mmmm")&amp;" de "&amp;LETRAS(TEXT(DATOS!E102,"YYYY"))&amp;" ("&amp;TEXT(DATOS!E102,"yyyy"))&amp;").",LETRAS(TEXT(DATOS!E102,"d"))&amp;" ("&amp;TEXT(DATOS!E102,"dd")&amp;") del mes de "&amp;TEXT(DATOS!E102,"mmmm")&amp;" de "&amp;LETRAS(TEXT(DATOS!E102,"YYYY"))&amp;" ("&amp;TEXT(DATOS!E102,"yyyy")&amp;").")</f>
        <v>Para constancia de lo anterior, se firma en Popayán (Cauca) el día Cero (00) del mes de January de Mil Novecientos (1900).</v>
      </c>
      <c r="B32" s="964"/>
      <c r="C32" s="964"/>
      <c r="D32" s="964"/>
      <c r="E32" s="964"/>
      <c r="F32" s="964"/>
      <c r="G32" s="964"/>
      <c r="H32" s="964"/>
      <c r="I32" s="964"/>
    </row>
    <row r="33" spans="1:10" ht="15">
      <c r="A33" s="961"/>
      <c r="B33" s="961"/>
      <c r="C33" s="961"/>
      <c r="D33" s="961"/>
      <c r="E33" s="961"/>
      <c r="F33" s="961"/>
      <c r="G33" s="961"/>
      <c r="H33" s="961"/>
      <c r="I33" s="961"/>
      <c r="J33" s="50"/>
    </row>
    <row r="34" spans="1:10" ht="15">
      <c r="A34" s="53"/>
      <c r="B34" s="53"/>
      <c r="C34" s="53"/>
      <c r="D34" s="53"/>
      <c r="E34" s="53"/>
      <c r="F34" s="53"/>
      <c r="G34" s="53"/>
      <c r="H34" s="53"/>
      <c r="I34" s="53"/>
    </row>
    <row r="35" spans="1:10" ht="15">
      <c r="A35" s="53"/>
      <c r="B35" s="53"/>
      <c r="C35" s="53"/>
      <c r="D35" s="53"/>
      <c r="E35" s="53"/>
      <c r="F35" s="53"/>
      <c r="G35" s="53"/>
      <c r="H35" s="53"/>
      <c r="I35" s="53"/>
    </row>
    <row r="36" spans="1:10" ht="15">
      <c r="A36" s="53"/>
      <c r="B36" s="53"/>
      <c r="C36" s="53"/>
      <c r="D36" s="53"/>
      <c r="E36" s="53"/>
      <c r="F36" s="53"/>
      <c r="G36" s="53"/>
      <c r="H36" s="53"/>
      <c r="I36" s="53"/>
    </row>
    <row r="37" spans="1:10" ht="15">
      <c r="A37" s="53"/>
      <c r="B37" s="53"/>
      <c r="C37" s="53"/>
      <c r="D37" s="53"/>
      <c r="E37" s="53"/>
      <c r="F37" s="53"/>
      <c r="G37" s="53"/>
      <c r="H37" s="53"/>
      <c r="I37" s="53"/>
    </row>
    <row r="38" spans="1:10" ht="15.75">
      <c r="A38" s="53"/>
      <c r="B38" s="54">
        <f>IF(DATOS!E16="Persona Jurídica",DATOS!G20,DATOS!G16)</f>
        <v>0</v>
      </c>
      <c r="C38" s="53"/>
      <c r="D38" s="53"/>
      <c r="E38" s="53"/>
      <c r="F38" s="54">
        <f>IF(DATOS!E10="CONTRATO DE OBRA",IF(DATOS!E24="Persona Jurídica",DATOS!G28,DATOS!G24),DATOS!G30)</f>
        <v>0</v>
      </c>
      <c r="G38" s="53"/>
      <c r="H38" s="53"/>
      <c r="I38" s="53"/>
    </row>
    <row r="39" spans="1:10" ht="15">
      <c r="A39" s="53"/>
      <c r="B39" s="55" t="str">
        <f>IF(DATOS!E16="Persona Jurídica",DATOS!G16,"Contratista")</f>
        <v>Contratista</v>
      </c>
      <c r="C39" s="53"/>
      <c r="D39" s="53"/>
      <c r="E39" s="53"/>
      <c r="F39" s="55" t="str">
        <f>IF(DATOS!E24="Persona Jurídica",DATOS!G24,"Interventor")</f>
        <v>Interventor</v>
      </c>
      <c r="G39" s="53"/>
      <c r="H39" s="53"/>
      <c r="I39" s="53"/>
    </row>
    <row r="40" spans="1:10" ht="15">
      <c r="A40" s="53"/>
      <c r="B40" s="55" t="str">
        <f>IF(DATOS!E16="Persona jurídica","Contratista"," ")</f>
        <v xml:space="preserve"> </v>
      </c>
      <c r="C40" s="53"/>
      <c r="D40" s="53"/>
      <c r="E40" s="53"/>
      <c r="F40" s="55" t="str">
        <f>IF(DATOS!E24="Persona jurídica","Interventor"," ")</f>
        <v xml:space="preserve"> </v>
      </c>
      <c r="G40" s="53"/>
      <c r="H40" s="53"/>
      <c r="I40" s="53"/>
    </row>
    <row r="41" spans="1:10" ht="15">
      <c r="A41" s="53"/>
      <c r="B41" s="55"/>
      <c r="C41" s="53"/>
      <c r="D41" s="53"/>
      <c r="E41" s="53"/>
      <c r="F41" s="55"/>
      <c r="G41" s="53"/>
      <c r="H41" s="53"/>
      <c r="I41" s="53"/>
    </row>
    <row r="42" spans="1:10" ht="15">
      <c r="A42" s="53"/>
      <c r="B42" s="55"/>
      <c r="C42" s="53"/>
      <c r="D42" s="53"/>
      <c r="E42" s="53"/>
      <c r="F42" s="55"/>
      <c r="G42" s="53"/>
      <c r="H42" s="53"/>
      <c r="I42" s="53"/>
    </row>
    <row r="43" spans="1:10" ht="15">
      <c r="A43" s="53"/>
      <c r="B43" s="55"/>
      <c r="C43" s="53"/>
      <c r="D43" s="53"/>
      <c r="E43" s="53"/>
      <c r="F43" s="55"/>
      <c r="G43" s="53"/>
      <c r="H43" s="53"/>
      <c r="I43" s="53"/>
    </row>
    <row r="44" spans="1:10" ht="15">
      <c r="A44" s="53"/>
      <c r="B44" s="55"/>
      <c r="C44" s="53"/>
      <c r="D44" s="53"/>
      <c r="E44" s="53"/>
      <c r="F44" s="55"/>
      <c r="G44" s="53"/>
      <c r="H44" s="53"/>
      <c r="I44" s="53"/>
    </row>
    <row r="45" spans="1:10" ht="15">
      <c r="A45" s="53"/>
      <c r="B45" s="55"/>
      <c r="C45" s="53"/>
      <c r="D45" s="53"/>
      <c r="E45" s="53"/>
      <c r="F45" s="55"/>
      <c r="G45" s="53"/>
      <c r="H45" s="53"/>
      <c r="I45" s="53"/>
    </row>
    <row r="46" spans="1:10" ht="15.75">
      <c r="A46" s="1273">
        <f>DATOS!G30</f>
        <v>0</v>
      </c>
      <c r="B46" s="1273"/>
      <c r="C46" s="1273"/>
      <c r="D46" s="1273"/>
      <c r="E46" s="1273"/>
      <c r="F46" s="1273"/>
      <c r="G46" s="1273"/>
      <c r="H46" s="1273"/>
      <c r="I46" s="1273"/>
    </row>
    <row r="47" spans="1:10" ht="15.6" customHeight="1">
      <c r="A47" s="1272" t="s">
        <v>285</v>
      </c>
      <c r="B47" s="1272"/>
      <c r="C47" s="1272"/>
      <c r="D47" s="1272"/>
      <c r="E47" s="1272"/>
      <c r="F47" s="1272"/>
      <c r="G47" s="1272"/>
      <c r="H47" s="1272"/>
      <c r="I47" s="1272"/>
    </row>
    <row r="48" spans="1:10" ht="15">
      <c r="A48" s="53"/>
      <c r="B48" s="55"/>
      <c r="C48" s="53"/>
      <c r="D48" s="53"/>
      <c r="E48" s="53"/>
      <c r="F48" s="55"/>
      <c r="G48" s="53"/>
      <c r="H48" s="53"/>
      <c r="I48" s="53"/>
    </row>
    <row r="49" spans="1:10" ht="15">
      <c r="A49" s="53"/>
      <c r="B49" s="53"/>
      <c r="C49" s="53"/>
      <c r="D49" s="53"/>
      <c r="E49" s="53"/>
      <c r="F49" s="53"/>
      <c r="G49" s="53"/>
      <c r="H49" s="53"/>
      <c r="I49" s="53"/>
      <c r="J49" s="50"/>
    </row>
  </sheetData>
  <mergeCells count="54">
    <mergeCell ref="A46:I46"/>
    <mergeCell ref="A47:I47"/>
    <mergeCell ref="A24:I24"/>
    <mergeCell ref="A25:I25"/>
    <mergeCell ref="A27:I27"/>
    <mergeCell ref="A30:I30"/>
    <mergeCell ref="A32:I32"/>
    <mergeCell ref="A33:I33"/>
    <mergeCell ref="A28:I28"/>
    <mergeCell ref="A20:B20"/>
    <mergeCell ref="C20:I20"/>
    <mergeCell ref="A21:B21"/>
    <mergeCell ref="C21:I21"/>
    <mergeCell ref="A22:B22"/>
    <mergeCell ref="C22:I22"/>
    <mergeCell ref="A17:B17"/>
    <mergeCell ref="C17:I17"/>
    <mergeCell ref="A18:B18"/>
    <mergeCell ref="C18:I18"/>
    <mergeCell ref="A19:B19"/>
    <mergeCell ref="C19:I19"/>
    <mergeCell ref="A14:B14"/>
    <mergeCell ref="C14:I14"/>
    <mergeCell ref="A15:B15"/>
    <mergeCell ref="C15:I15"/>
    <mergeCell ref="A16:B16"/>
    <mergeCell ref="C16:I16"/>
    <mergeCell ref="A11:B11"/>
    <mergeCell ref="C11:I11"/>
    <mergeCell ref="A12:B12"/>
    <mergeCell ref="C12:I12"/>
    <mergeCell ref="A13:B13"/>
    <mergeCell ref="C13:I13"/>
    <mergeCell ref="A8:B8"/>
    <mergeCell ref="C8:I8"/>
    <mergeCell ref="A9:B9"/>
    <mergeCell ref="C9:I9"/>
    <mergeCell ref="A10:B10"/>
    <mergeCell ref="C10:I10"/>
    <mergeCell ref="A4:I4"/>
    <mergeCell ref="A6:B6"/>
    <mergeCell ref="E6:F6"/>
    <mergeCell ref="G6:H6"/>
    <mergeCell ref="A7:B7"/>
    <mergeCell ref="C7:I7"/>
    <mergeCell ref="A1:A3"/>
    <mergeCell ref="B1:E2"/>
    <mergeCell ref="F1:G1"/>
    <mergeCell ref="H1:I1"/>
    <mergeCell ref="F2:G2"/>
    <mergeCell ref="H2:I2"/>
    <mergeCell ref="B3:E3"/>
    <mergeCell ref="F3:G3"/>
    <mergeCell ref="H3:I3"/>
  </mergeCells>
  <conditionalFormatting sqref="C17:I17">
    <cfRule type="expression" dxfId="24" priority="5">
      <formula>$C$17&lt;=0</formula>
    </cfRule>
  </conditionalFormatting>
  <conditionalFormatting sqref="C18:I18">
    <cfRule type="expression" dxfId="23" priority="4">
      <formula>$C$18&lt;=0</formula>
    </cfRule>
  </conditionalFormatting>
  <conditionalFormatting sqref="C20:I20">
    <cfRule type="expression" dxfId="22" priority="3">
      <formula>$C$20&lt;=0</formula>
    </cfRule>
  </conditionalFormatting>
  <conditionalFormatting sqref="C22:I22">
    <cfRule type="expression" dxfId="21" priority="2">
      <formula>$C$22&lt;=0</formula>
    </cfRule>
  </conditionalFormatting>
  <conditionalFormatting sqref="C21:I21">
    <cfRule type="expression" dxfId="20" priority="1">
      <formula>$C$21&lt;=0</formula>
    </cfRule>
  </conditionalFormatting>
  <printOptions horizontalCentered="1"/>
  <pageMargins left="0.78740157480314965" right="0.39370078740157483" top="0.59055118110236227" bottom="1.2598425196850394" header="0.31496062992125984" footer="0.11811023622047245"/>
  <pageSetup scale="82" orientation="portrait" r:id="rId1"/>
  <headerFooter>
    <oddFooter>&amp;L&amp;G&amp;R&amp;"-,Cursiva"&amp;9Página &amp;P de &amp;N&amp;"-,Normal"&amp;11
&amp;G</oddFooter>
  </headerFooter>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K49"/>
  <sheetViews>
    <sheetView zoomScaleNormal="100" zoomScaleSheetLayoutView="90" workbookViewId="0">
      <selection activeCell="M9" sqref="M9"/>
    </sheetView>
  </sheetViews>
  <sheetFormatPr baseColWidth="10" defaultColWidth="11.5703125" defaultRowHeight="14.25"/>
  <cols>
    <col min="1" max="1" width="22.85546875" style="42" customWidth="1"/>
    <col min="2" max="2" width="8.7109375" style="42" customWidth="1"/>
    <col min="3" max="3" width="37.42578125" style="42" customWidth="1"/>
    <col min="4" max="4" width="7.28515625" style="42" customWidth="1"/>
    <col min="5" max="5" width="2.28515625" style="42" customWidth="1"/>
    <col min="6" max="6" width="8.5703125" style="42" customWidth="1"/>
    <col min="7" max="7" width="6.28515625" style="42" customWidth="1"/>
    <col min="8" max="8" width="4.28515625" style="42" customWidth="1"/>
    <col min="9" max="9" width="11.7109375" style="42" customWidth="1"/>
    <col min="10" max="10" width="11.5703125" style="42" customWidth="1"/>
    <col min="11" max="11" width="0" style="42" hidden="1" customWidth="1"/>
    <col min="12" max="16384" width="11.5703125" style="42"/>
  </cols>
  <sheetData>
    <row r="1" spans="1:11" ht="24.6" customHeight="1">
      <c r="A1" s="972"/>
      <c r="B1" s="973" t="s">
        <v>276</v>
      </c>
      <c r="C1" s="973"/>
      <c r="D1" s="973"/>
      <c r="E1" s="973"/>
      <c r="F1" s="975" t="s">
        <v>90</v>
      </c>
      <c r="G1" s="975"/>
      <c r="H1" s="970" t="s">
        <v>84</v>
      </c>
      <c r="I1" s="970"/>
      <c r="J1" s="41"/>
    </row>
    <row r="2" spans="1:11" ht="24.6" customHeight="1">
      <c r="A2" s="972"/>
      <c r="B2" s="973"/>
      <c r="C2" s="973"/>
      <c r="D2" s="973"/>
      <c r="E2" s="973"/>
      <c r="F2" s="975" t="s">
        <v>89</v>
      </c>
      <c r="G2" s="975"/>
      <c r="H2" s="970">
        <v>1</v>
      </c>
      <c r="I2" s="970"/>
      <c r="J2" s="41"/>
    </row>
    <row r="3" spans="1:11" ht="24.6" customHeight="1">
      <c r="A3" s="972"/>
      <c r="B3" s="970" t="s">
        <v>93</v>
      </c>
      <c r="C3" s="970"/>
      <c r="D3" s="970"/>
      <c r="E3" s="970"/>
      <c r="F3" s="1160" t="s">
        <v>88</v>
      </c>
      <c r="G3" s="1161"/>
      <c r="H3" s="970"/>
      <c r="I3" s="970"/>
      <c r="J3" s="41"/>
    </row>
    <row r="4" spans="1:11" ht="34.9" customHeight="1">
      <c r="A4" s="1019" t="s">
        <v>291</v>
      </c>
      <c r="B4" s="1162"/>
      <c r="C4" s="1162"/>
      <c r="D4" s="1162"/>
      <c r="E4" s="1162"/>
      <c r="F4" s="1162"/>
      <c r="G4" s="1162"/>
      <c r="H4" s="1162"/>
      <c r="I4" s="1162"/>
      <c r="J4" s="41"/>
    </row>
    <row r="5" spans="1:11" ht="3" customHeight="1">
      <c r="A5" s="135"/>
      <c r="B5" s="138"/>
      <c r="C5" s="138"/>
      <c r="D5" s="138"/>
      <c r="E5" s="138"/>
      <c r="F5" s="138"/>
      <c r="G5" s="138"/>
      <c r="H5" s="138"/>
      <c r="I5" s="138"/>
      <c r="J5" s="41"/>
    </row>
    <row r="6" spans="1:11" ht="19.149999999999999" customHeight="1">
      <c r="A6" s="962" t="s">
        <v>1</v>
      </c>
      <c r="B6" s="962"/>
      <c r="C6" s="51">
        <f>DATOS!$E$10</f>
        <v>0</v>
      </c>
      <c r="D6" s="181" t="s">
        <v>92</v>
      </c>
      <c r="E6" s="974">
        <f>DATOS!E12</f>
        <v>0</v>
      </c>
      <c r="F6" s="974"/>
      <c r="G6" s="962" t="s">
        <v>86</v>
      </c>
      <c r="H6" s="962"/>
      <c r="I6" s="136">
        <f>DATOS!I12</f>
        <v>0</v>
      </c>
      <c r="J6" s="41"/>
    </row>
    <row r="7" spans="1:11" ht="19.149999999999999" customHeight="1">
      <c r="A7" s="962" t="s">
        <v>94</v>
      </c>
      <c r="B7" s="962"/>
      <c r="C7" s="963" t="s">
        <v>101</v>
      </c>
      <c r="D7" s="963"/>
      <c r="E7" s="963"/>
      <c r="F7" s="963"/>
      <c r="G7" s="963"/>
      <c r="H7" s="963"/>
      <c r="I7" s="963"/>
      <c r="J7" s="41"/>
    </row>
    <row r="8" spans="1:11" ht="19.149999999999999" customHeight="1">
      <c r="A8" s="962" t="s">
        <v>95</v>
      </c>
      <c r="B8" s="962"/>
      <c r="C8" s="963" t="s">
        <v>102</v>
      </c>
      <c r="D8" s="963"/>
      <c r="E8" s="963"/>
      <c r="F8" s="963"/>
      <c r="G8" s="963"/>
      <c r="H8" s="963"/>
      <c r="I8" s="963"/>
      <c r="J8" s="41"/>
    </row>
    <row r="9" spans="1:11" ht="19.149999999999999" customHeight="1">
      <c r="A9" s="962" t="str">
        <f>IF('SUSP 7'!C6="CONTRATO DE OBRA",("INTERVENTOR"),("SUPERVISOR"))</f>
        <v>SUPERVISOR</v>
      </c>
      <c r="B9" s="962"/>
      <c r="C9" s="963">
        <f>LOOKUP(A9,DATOS!C24:C30,DATOS!G24:G30)</f>
        <v>0</v>
      </c>
      <c r="D9" s="963"/>
      <c r="E9" s="963"/>
      <c r="F9" s="963"/>
      <c r="G9" s="963"/>
      <c r="H9" s="963"/>
      <c r="I9" s="963"/>
      <c r="K9" s="394" t="str">
        <f>LOOKUP(A9,DATOS!C24:C30,DATOS!M24:M30)</f>
        <v>la</v>
      </c>
    </row>
    <row r="10" spans="1:11" ht="19.149999999999999" customHeight="1">
      <c r="A10" s="962" t="s">
        <v>95</v>
      </c>
      <c r="B10" s="962"/>
      <c r="C10" s="963">
        <f>IF(A9=DATOS!C24,DATOS!E26,DATOS!E32)</f>
        <v>0</v>
      </c>
      <c r="D10" s="963"/>
      <c r="E10" s="963"/>
      <c r="F10" s="963"/>
      <c r="G10" s="963"/>
      <c r="H10" s="963"/>
      <c r="I10" s="963"/>
      <c r="K10" s="394"/>
    </row>
    <row r="11" spans="1:11" ht="19.149999999999999" customHeight="1">
      <c r="A11" s="962" t="s">
        <v>5</v>
      </c>
      <c r="B11" s="962"/>
      <c r="C11" s="963" t="str">
        <f>IF(DATOS!G28&gt;0,DATOS!G28,"N/A")</f>
        <v>N/A</v>
      </c>
      <c r="D11" s="963"/>
      <c r="E11" s="963"/>
      <c r="F11" s="963"/>
      <c r="G11" s="963"/>
      <c r="H11" s="963"/>
      <c r="I11" s="963"/>
      <c r="K11" s="394"/>
    </row>
    <row r="12" spans="1:11" ht="19.149999999999999" customHeight="1">
      <c r="A12" s="962" t="s">
        <v>107</v>
      </c>
      <c r="B12" s="962"/>
      <c r="C12" s="963">
        <f>DATOS!G16</f>
        <v>0</v>
      </c>
      <c r="D12" s="963"/>
      <c r="E12" s="963"/>
      <c r="F12" s="963"/>
      <c r="G12" s="963"/>
      <c r="H12" s="963"/>
      <c r="I12" s="963"/>
      <c r="K12" s="394" t="str">
        <f>DATOS!M16</f>
        <v>la</v>
      </c>
    </row>
    <row r="13" spans="1:11" ht="19.149999999999999" customHeight="1">
      <c r="A13" s="962" t="s">
        <v>95</v>
      </c>
      <c r="B13" s="962"/>
      <c r="C13" s="1163">
        <f>DATOS!E18</f>
        <v>0</v>
      </c>
      <c r="D13" s="963"/>
      <c r="E13" s="963"/>
      <c r="F13" s="963"/>
      <c r="G13" s="963"/>
      <c r="H13" s="963"/>
      <c r="I13" s="963"/>
      <c r="K13" s="394"/>
    </row>
    <row r="14" spans="1:11" ht="19.149999999999999" customHeight="1">
      <c r="A14" s="962" t="s">
        <v>5</v>
      </c>
      <c r="B14" s="962"/>
      <c r="C14" s="963" t="str">
        <f>IF(DATOS!G20&gt;0,DATOS!G20,"N/A")</f>
        <v>N/A</v>
      </c>
      <c r="D14" s="963"/>
      <c r="E14" s="963"/>
      <c r="F14" s="963"/>
      <c r="G14" s="963"/>
      <c r="H14" s="963"/>
      <c r="I14" s="963"/>
      <c r="K14" s="394" t="str">
        <f>DATOS!M20</f>
        <v>la</v>
      </c>
    </row>
    <row r="15" spans="1:11" ht="66.599999999999994" customHeight="1">
      <c r="A15" s="962" t="s">
        <v>8</v>
      </c>
      <c r="B15" s="962"/>
      <c r="C15" s="968">
        <f>DATOS!E38</f>
        <v>0</v>
      </c>
      <c r="D15" s="968"/>
      <c r="E15" s="968"/>
      <c r="F15" s="968"/>
      <c r="G15" s="968"/>
      <c r="H15" s="968"/>
      <c r="I15" s="968"/>
    </row>
    <row r="16" spans="1:11" ht="19.149999999999999" customHeight="1">
      <c r="A16" s="962" t="s">
        <v>12</v>
      </c>
      <c r="B16" s="962"/>
      <c r="C16" s="969">
        <f>DATOS!E46</f>
        <v>0</v>
      </c>
      <c r="D16" s="969"/>
      <c r="E16" s="969"/>
      <c r="F16" s="969"/>
      <c r="G16" s="969"/>
      <c r="H16" s="969"/>
      <c r="I16" s="969"/>
    </row>
    <row r="17" spans="1:10" ht="19.149999999999999" customHeight="1">
      <c r="A17" s="962" t="s">
        <v>278</v>
      </c>
      <c r="B17" s="962"/>
      <c r="C17" s="969">
        <f>DATOS!E60</f>
        <v>30000000</v>
      </c>
      <c r="D17" s="969"/>
      <c r="E17" s="969"/>
      <c r="F17" s="969"/>
      <c r="G17" s="969"/>
      <c r="H17" s="969"/>
      <c r="I17" s="969"/>
    </row>
    <row r="18" spans="1:10" ht="19.149999999999999" customHeight="1">
      <c r="A18" s="962" t="s">
        <v>279</v>
      </c>
      <c r="B18" s="962"/>
      <c r="C18" s="969">
        <f>DATOS!E62</f>
        <v>0</v>
      </c>
      <c r="D18" s="969"/>
      <c r="E18" s="969"/>
      <c r="F18" s="969"/>
      <c r="G18" s="969"/>
      <c r="H18" s="969"/>
      <c r="I18" s="969"/>
    </row>
    <row r="19" spans="1:10" ht="19.149999999999999" customHeight="1">
      <c r="A19" s="962" t="s">
        <v>11</v>
      </c>
      <c r="B19" s="962"/>
      <c r="C19" s="963" t="str">
        <f>CONCATENATE(DATOS!E44,DATOS!F44,DATOS!G44)</f>
        <v xml:space="preserve"> </v>
      </c>
      <c r="D19" s="963"/>
      <c r="E19" s="963"/>
      <c r="F19" s="963"/>
      <c r="G19" s="963"/>
      <c r="H19" s="963"/>
      <c r="I19" s="963"/>
    </row>
    <row r="20" spans="1:10" ht="19.149999999999999" customHeight="1">
      <c r="A20" s="962" t="s">
        <v>280</v>
      </c>
      <c r="B20" s="962"/>
      <c r="C20" s="963" t="str">
        <f>IF(DATOS!E64&gt;0,CONCATENATE(DATOS!E64,DATOS!F64,DATOS!G64),0)</f>
        <v>5 MESES</v>
      </c>
      <c r="D20" s="963"/>
      <c r="E20" s="963"/>
      <c r="F20" s="963"/>
      <c r="G20" s="963"/>
      <c r="H20" s="963"/>
      <c r="I20" s="963"/>
    </row>
    <row r="21" spans="1:10" ht="19.149999999999999" customHeight="1">
      <c r="A21" s="962" t="s">
        <v>281</v>
      </c>
      <c r="B21" s="962"/>
      <c r="C21" s="963">
        <f>IF(DATOS!E66&gt;0,CONCATENATE(DATOS!E66,DATOS!F66,DATOS!G66),0)</f>
        <v>0</v>
      </c>
      <c r="D21" s="963"/>
      <c r="E21" s="963"/>
      <c r="F21" s="963"/>
      <c r="G21" s="963"/>
      <c r="H21" s="963"/>
      <c r="I21" s="963"/>
    </row>
    <row r="22" spans="1:10" ht="19.149999999999999" customHeight="1">
      <c r="A22" s="962" t="s">
        <v>282</v>
      </c>
      <c r="B22" s="962"/>
      <c r="C22" s="963">
        <f>IF(DATOS!E68&gt;0,CONCATENATE(DATOS!E68,DATOS!F68,DATOS!G68),0)</f>
        <v>0</v>
      </c>
      <c r="D22" s="963"/>
      <c r="E22" s="963"/>
      <c r="F22" s="963"/>
      <c r="G22" s="963"/>
      <c r="H22" s="963"/>
      <c r="I22" s="963"/>
    </row>
    <row r="23" spans="1:10" ht="27.6" customHeight="1">
      <c r="A23" s="53"/>
      <c r="B23" s="53"/>
      <c r="C23" s="53"/>
      <c r="D23" s="53"/>
      <c r="E23" s="53"/>
      <c r="F23" s="53"/>
      <c r="G23" s="53"/>
      <c r="H23" s="53"/>
      <c r="I23" s="53"/>
    </row>
    <row r="24" spans="1:10" ht="96" customHeight="1">
      <c r="A24" s="961" t="str">
        <f>IF(DATOS!E16="Persona Jurídica",IF(DATOS!E24="Persona Jurídica","En Popayán el día "&amp;IF((TEXT(DATOS!E108,"d"))="1",("Uno" &amp;" ("&amp;TEXT(DATOS!E108,"dd")&amp;") del mes de "&amp;TEXT(DATOS!E108,"mmmm")&amp;" de "&amp;TEXT(DATOS!E108,"yyyy")&amp;", se reunieron "&amp;DATOS!M28&amp;"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referencia."),LETRAS(TEXT(DATOS!E108,"d"))&amp;" ("&amp;TEXT(DATOS!E108,"dd")&amp;") del mes de "&amp;TEXT(DATOS!E108,"mmmm")&amp;" de "&amp;TEXT(DATOS!E108,"yyyy")&amp;", se reunieron "&amp;DATOS!M28&amp;"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referencia."),"En Popayán el día "&amp;IF((TEXT(DATOS!E108,"d"))="1",("Uno" &amp;" ("&amp;TEXT(DATOS!E108,"dd")&amp;") del mes de "&amp;TEXT(DATOS!E108,"mmmm")&amp;" de "&amp;TEXT(DATOS!E108,"yyyy")&amp;", se reunieron "&amp;K9&amp;"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referencia."),LETRAS(TEXT(DATOS!E108,"d"))&amp;" ("&amp;TEXT(DATOS!E108,"dd")&amp;") del mes de "&amp;TEXT(DATOS!E108,"mmmm")&amp;" de "&amp;TEXT(DATOS!E108,"yyyy")&amp;", se reunieron "&amp;K9&amp;"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referencia.")),IF(DATOS!E24="Persona Jurídica","En Popayán el día "&amp;IF((TEXT(DATOS!E108,"d"))="1",("Uno" &amp;" ("&amp;TEXT(DATOS!E108,"dd")&amp;") del mes de "&amp;TEXT(DATOS!E108,"mmmm")&amp;" de "&amp;TEXT(DATOS!E108,"yyyy")&amp;", se reunieron "&amp;DATOS!M28&amp;"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referencia."),LETRAS(TEXT(DATOS!E108,"d"))&amp;" ("&amp;TEXT(DATOS!E108,"dd")&amp;") del mes de "&amp;TEXT(DATOS!E108,"mmmm")&amp;" de "&amp;TEXT(DATOS!E108,"yyyy")&amp;", se reunieron "&amp;DATOS!M28&amp;"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referencia."),"En Popayán el día "&amp;IF((TEXT(DATOS!E108,"d"))="1",("Uno" &amp;" ("&amp;TEXT(DATOS!E108,"dd")&amp;") del mes de "&amp;TEXT(DATOS!E108,"mmmm")&amp;" de "&amp;TEXT(DATOS!E108,"yyyy")&amp;", se reunieron "&amp;K9&amp;" "&amp;DATOS!E24&amp;" "&amp;C9&amp;", en calidad de "&amp;A9&amp;" del "&amp;DATOS!E10&amp;" No. "&amp;DATOS!E12&amp;" "&amp;DATOS!G12&amp;" "&amp;DATOS!I12&amp;", por una parte, y por la otra "&amp;K12&amp;" "&amp;DATOS!E16&amp;" "&amp;C12&amp;" en calidad de "&amp;A12&amp;", para acordar la suspensión del contrato en referencia."),LETRAS(TEXT(DATOS!E108,"d"))&amp;" ("&amp;TEXT(DATOS!E108,"dd")&amp;") del mes de "&amp;TEXT(DATOS!E108,"mmmm")&amp;" de "&amp;TEXT(DATOS!E108,"yyyy")&amp;", se reunieron "&amp;K9&amp;" "&amp;DATOS!E24&amp;" "&amp;C9&amp;", en calidad de "&amp;A9&amp;" del "&amp;DATOS!E10&amp;" No. "&amp;DATOS!E12&amp;" "&amp;DATOS!G12&amp;" "&amp;DATOS!I12&amp;", por una parte, y por la otra "&amp;K12&amp;" "&amp;DATOS!E16&amp;" "&amp;C12&amp;" en calidad de "&amp;A12&amp;", para acordar la suspensión del contrato en referencia.")))</f>
        <v>En Popayán el día Cero (00) del mes de January de 1900, se reunieron la  0, en calidad de SUPERVISOR del  No.   , por una parte, y por la otra la  0 en calidad de CONTRATISTA, para acordar la suspensión del contrato en referencia.</v>
      </c>
      <c r="B24" s="961"/>
      <c r="C24" s="961"/>
      <c r="D24" s="961"/>
      <c r="E24" s="961"/>
      <c r="F24" s="961"/>
      <c r="G24" s="961"/>
      <c r="H24" s="961"/>
      <c r="I24" s="961"/>
      <c r="J24" s="50"/>
    </row>
    <row r="25" spans="1:10" ht="15.75">
      <c r="A25" s="1165" t="s">
        <v>283</v>
      </c>
      <c r="B25" s="1165"/>
      <c r="C25" s="1165"/>
      <c r="D25" s="1165"/>
      <c r="E25" s="1165"/>
      <c r="F25" s="1165"/>
      <c r="G25" s="1165"/>
      <c r="H25" s="1165"/>
      <c r="I25" s="1165"/>
      <c r="J25" s="50"/>
    </row>
    <row r="26" spans="1:10" ht="15">
      <c r="A26" s="137"/>
      <c r="B26" s="137"/>
      <c r="C26" s="137"/>
      <c r="D26" s="137"/>
      <c r="E26" s="137"/>
      <c r="F26" s="137"/>
      <c r="G26" s="137"/>
      <c r="H26" s="137"/>
      <c r="I26" s="137"/>
      <c r="J26" s="50"/>
    </row>
    <row r="27" spans="1:10" ht="68.45" customHeight="1">
      <c r="A27" s="961" t="str">
        <f>"PRIMERO. - De común acuerdo suspender temporalmente el "&amp;DATOS!E10&amp;" No. "&amp;DATOS!E12&amp;" "&amp;DATOS!G12&amp;" "&amp;DATOS!I12&amp;", cuyo objeto es "&amp;DATOS!E38&amp;", teniendo en cuenta las siguientes consideraciones que han impedido la ejecución del mencionado contrato:"</f>
        <v>PRIMERO. - De común acuerdo suspender temporalmente el  No.   , cuyo objeto es , teniendo en cuenta las siguientes consideraciones que han impedido la ejecución del mencionado contrato:</v>
      </c>
      <c r="B27" s="961"/>
      <c r="C27" s="961"/>
      <c r="D27" s="961"/>
      <c r="E27" s="961"/>
      <c r="F27" s="961"/>
      <c r="G27" s="961"/>
      <c r="H27" s="961"/>
      <c r="I27" s="961"/>
      <c r="J27" s="50"/>
    </row>
    <row r="28" spans="1:10" ht="15">
      <c r="A28" s="1166" t="s">
        <v>335</v>
      </c>
      <c r="B28" s="961"/>
      <c r="C28" s="961"/>
      <c r="D28" s="961"/>
      <c r="E28" s="961"/>
      <c r="F28" s="961"/>
      <c r="G28" s="961"/>
      <c r="H28" s="961"/>
      <c r="I28" s="961"/>
      <c r="J28" s="50"/>
    </row>
    <row r="29" spans="1:10" ht="20.45" customHeight="1">
      <c r="A29" s="137"/>
      <c r="B29" s="137"/>
      <c r="C29" s="137"/>
      <c r="D29" s="137"/>
      <c r="E29" s="137"/>
      <c r="F29" s="137"/>
      <c r="G29" s="137"/>
      <c r="H29" s="137"/>
      <c r="I29" s="137"/>
      <c r="J29" s="50"/>
    </row>
    <row r="30" spans="1:10" ht="97.9" customHeight="1">
      <c r="A30" s="961" t="s">
        <v>284</v>
      </c>
      <c r="B30" s="961"/>
      <c r="C30" s="961"/>
      <c r="D30" s="961"/>
      <c r="E30" s="961"/>
      <c r="F30" s="961"/>
      <c r="G30" s="961"/>
      <c r="H30" s="961"/>
      <c r="I30" s="961"/>
      <c r="J30" s="50"/>
    </row>
    <row r="31" spans="1:10" ht="15">
      <c r="A31" s="53"/>
      <c r="B31" s="53"/>
      <c r="C31" s="53"/>
      <c r="D31" s="53"/>
      <c r="E31" s="53"/>
      <c r="F31" s="53"/>
      <c r="G31" s="53"/>
      <c r="H31" s="53"/>
      <c r="I31" s="53"/>
    </row>
    <row r="32" spans="1:10" ht="31.9" customHeight="1">
      <c r="A32" s="964" t="str">
        <f>"Para constancia de lo anterior, se firma en Popayán (Cauca) el día "&amp;IF((TEXT(DATOS!E108,"d"))="1",("Uno"&amp;" ("&amp;TEXT(DATOS!E108,"dd")&amp;") del mes de "&amp;TEXT(DATOS!E108,"mmmm")&amp;" de "&amp;LETRAS(TEXT(DATOS!E108,"YYYY"))&amp;" ("&amp;TEXT(DATOS!E108,"yyyy"))&amp;").",LETRAS(TEXT(DATOS!E108,"d"))&amp;" ("&amp;TEXT(DATOS!E108,"dd")&amp;") del mes de "&amp;TEXT(DATOS!E108,"mmmm")&amp;" de "&amp;LETRAS(TEXT(DATOS!E108,"YYYY"))&amp;" ("&amp;TEXT(DATOS!E108,"yyyy")&amp;").")</f>
        <v>Para constancia de lo anterior, se firma en Popayán (Cauca) el día Cero (00) del mes de January de Mil Novecientos (1900).</v>
      </c>
      <c r="B32" s="964"/>
      <c r="C32" s="964"/>
      <c r="D32" s="964"/>
      <c r="E32" s="964"/>
      <c r="F32" s="964"/>
      <c r="G32" s="964"/>
      <c r="H32" s="964"/>
      <c r="I32" s="964"/>
    </row>
    <row r="33" spans="1:10" ht="15">
      <c r="A33" s="961"/>
      <c r="B33" s="961"/>
      <c r="C33" s="961"/>
      <c r="D33" s="961"/>
      <c r="E33" s="961"/>
      <c r="F33" s="961"/>
      <c r="G33" s="961"/>
      <c r="H33" s="961"/>
      <c r="I33" s="961"/>
      <c r="J33" s="50"/>
    </row>
    <row r="34" spans="1:10" ht="15">
      <c r="A34" s="53"/>
      <c r="B34" s="53"/>
      <c r="C34" s="53"/>
      <c r="D34" s="53"/>
      <c r="E34" s="53"/>
      <c r="F34" s="53"/>
      <c r="G34" s="53"/>
      <c r="H34" s="53"/>
      <c r="I34" s="53"/>
    </row>
    <row r="35" spans="1:10" ht="15">
      <c r="A35" s="53"/>
      <c r="B35" s="53"/>
      <c r="C35" s="53"/>
      <c r="D35" s="53"/>
      <c r="E35" s="53"/>
      <c r="F35" s="53"/>
      <c r="G35" s="53"/>
      <c r="H35" s="53"/>
      <c r="I35" s="53"/>
    </row>
    <row r="36" spans="1:10" ht="15">
      <c r="A36" s="53"/>
      <c r="B36" s="53"/>
      <c r="C36" s="53"/>
      <c r="D36" s="53"/>
      <c r="E36" s="53"/>
      <c r="F36" s="53"/>
      <c r="G36" s="53"/>
      <c r="H36" s="53"/>
      <c r="I36" s="53"/>
    </row>
    <row r="37" spans="1:10" ht="15">
      <c r="A37" s="53"/>
      <c r="B37" s="53"/>
      <c r="C37" s="53"/>
      <c r="D37" s="53"/>
      <c r="E37" s="53"/>
      <c r="F37" s="53"/>
      <c r="G37" s="53"/>
      <c r="H37" s="53"/>
      <c r="I37" s="53"/>
    </row>
    <row r="38" spans="1:10" ht="15.75">
      <c r="A38" s="53"/>
      <c r="B38" s="54">
        <f>IF(DATOS!E16="Persona Jurídica",DATOS!G20,DATOS!G16)</f>
        <v>0</v>
      </c>
      <c r="C38" s="53"/>
      <c r="D38" s="53"/>
      <c r="E38" s="53"/>
      <c r="F38" s="54">
        <f>IF(DATOS!E10="CONTRATO DE OBRA",IF(DATOS!E24="Persona Jurídica",DATOS!G28,DATOS!G24),DATOS!G30)</f>
        <v>0</v>
      </c>
      <c r="G38" s="53"/>
      <c r="H38" s="53"/>
      <c r="I38" s="53"/>
    </row>
    <row r="39" spans="1:10" ht="15">
      <c r="A39" s="53"/>
      <c r="B39" s="55" t="str">
        <f>IF(DATOS!E16="Persona Jurídica",DATOS!G16,"Contratista")</f>
        <v>Contratista</v>
      </c>
      <c r="C39" s="53"/>
      <c r="D39" s="53"/>
      <c r="E39" s="53"/>
      <c r="F39" s="55" t="str">
        <f>IF(DATOS!E24="Persona Jurídica",DATOS!G24,"Interventor")</f>
        <v>Interventor</v>
      </c>
      <c r="G39" s="53"/>
      <c r="H39" s="53"/>
      <c r="I39" s="53"/>
    </row>
    <row r="40" spans="1:10" ht="15">
      <c r="A40" s="53"/>
      <c r="B40" s="55" t="str">
        <f>IF(DATOS!E16="Persona jurídica","Contratista"," ")</f>
        <v xml:space="preserve"> </v>
      </c>
      <c r="C40" s="53"/>
      <c r="D40" s="53"/>
      <c r="E40" s="53"/>
      <c r="F40" s="55" t="str">
        <f>IF(DATOS!E24="Persona jurídica","Interventor"," ")</f>
        <v xml:space="preserve"> </v>
      </c>
      <c r="G40" s="53"/>
      <c r="H40" s="53"/>
      <c r="I40" s="53"/>
    </row>
    <row r="41" spans="1:10" ht="15">
      <c r="A41" s="53"/>
      <c r="B41" s="55"/>
      <c r="C41" s="53"/>
      <c r="D41" s="53"/>
      <c r="E41" s="53"/>
      <c r="F41" s="55"/>
      <c r="G41" s="53"/>
      <c r="H41" s="53"/>
      <c r="I41" s="53"/>
    </row>
    <row r="42" spans="1:10" ht="15">
      <c r="A42" s="53"/>
      <c r="B42" s="55"/>
      <c r="C42" s="53"/>
      <c r="D42" s="53"/>
      <c r="E42" s="53"/>
      <c r="F42" s="55"/>
      <c r="G42" s="53"/>
      <c r="H42" s="53"/>
      <c r="I42" s="53"/>
    </row>
    <row r="43" spans="1:10" ht="15">
      <c r="A43" s="53"/>
      <c r="B43" s="55"/>
      <c r="C43" s="53"/>
      <c r="D43" s="53"/>
      <c r="E43" s="53"/>
      <c r="F43" s="55"/>
      <c r="G43" s="53"/>
      <c r="H43" s="53"/>
      <c r="I43" s="53"/>
    </row>
    <row r="44" spans="1:10" ht="15">
      <c r="A44" s="53"/>
      <c r="B44" s="55"/>
      <c r="C44" s="53"/>
      <c r="D44" s="53"/>
      <c r="E44" s="53"/>
      <c r="F44" s="55"/>
      <c r="G44" s="53"/>
      <c r="H44" s="53"/>
      <c r="I44" s="53"/>
    </row>
    <row r="45" spans="1:10" ht="15">
      <c r="A45" s="53"/>
      <c r="B45" s="55"/>
      <c r="C45" s="53"/>
      <c r="D45" s="53"/>
      <c r="E45" s="53"/>
      <c r="F45" s="55"/>
      <c r="G45" s="53"/>
      <c r="H45" s="53"/>
      <c r="I45" s="53"/>
    </row>
    <row r="46" spans="1:10" ht="15.75">
      <c r="A46" s="1273">
        <f>DATOS!G30</f>
        <v>0</v>
      </c>
      <c r="B46" s="1273"/>
      <c r="C46" s="1273"/>
      <c r="D46" s="1273"/>
      <c r="E46" s="1273"/>
      <c r="F46" s="1273"/>
      <c r="G46" s="1273"/>
      <c r="H46" s="1273"/>
      <c r="I46" s="1273"/>
    </row>
    <row r="47" spans="1:10" ht="15.6" customHeight="1">
      <c r="A47" s="1272" t="s">
        <v>285</v>
      </c>
      <c r="B47" s="1272"/>
      <c r="C47" s="1272"/>
      <c r="D47" s="1272"/>
      <c r="E47" s="1272"/>
      <c r="F47" s="1272"/>
      <c r="G47" s="1272"/>
      <c r="H47" s="1272"/>
      <c r="I47" s="1272"/>
    </row>
    <row r="48" spans="1:10" ht="15">
      <c r="A48" s="53"/>
      <c r="B48" s="55"/>
      <c r="C48" s="53"/>
      <c r="D48" s="53"/>
      <c r="E48" s="53"/>
      <c r="F48" s="55"/>
      <c r="G48" s="53"/>
      <c r="H48" s="53"/>
      <c r="I48" s="53"/>
    </row>
    <row r="49" spans="1:10" ht="15">
      <c r="A49" s="53"/>
      <c r="B49" s="53"/>
      <c r="C49" s="53"/>
      <c r="D49" s="53"/>
      <c r="E49" s="53"/>
      <c r="F49" s="53"/>
      <c r="G49" s="53"/>
      <c r="H49" s="53"/>
      <c r="I49" s="53"/>
      <c r="J49" s="50"/>
    </row>
  </sheetData>
  <mergeCells count="54">
    <mergeCell ref="A46:I46"/>
    <mergeCell ref="A47:I47"/>
    <mergeCell ref="A24:I24"/>
    <mergeCell ref="A25:I25"/>
    <mergeCell ref="A27:I27"/>
    <mergeCell ref="A30:I30"/>
    <mergeCell ref="A32:I32"/>
    <mergeCell ref="A33:I33"/>
    <mergeCell ref="A28:I28"/>
    <mergeCell ref="A20:B20"/>
    <mergeCell ref="C20:I20"/>
    <mergeCell ref="A21:B21"/>
    <mergeCell ref="C21:I21"/>
    <mergeCell ref="A22:B22"/>
    <mergeCell ref="C22:I22"/>
    <mergeCell ref="A17:B17"/>
    <mergeCell ref="C17:I17"/>
    <mergeCell ref="A18:B18"/>
    <mergeCell ref="C18:I18"/>
    <mergeCell ref="A19:B19"/>
    <mergeCell ref="C19:I19"/>
    <mergeCell ref="A14:B14"/>
    <mergeCell ref="C14:I14"/>
    <mergeCell ref="A15:B15"/>
    <mergeCell ref="C15:I15"/>
    <mergeCell ref="A16:B16"/>
    <mergeCell ref="C16:I16"/>
    <mergeCell ref="A11:B11"/>
    <mergeCell ref="C11:I11"/>
    <mergeCell ref="A12:B12"/>
    <mergeCell ref="C12:I12"/>
    <mergeCell ref="A13:B13"/>
    <mergeCell ref="C13:I13"/>
    <mergeCell ref="A8:B8"/>
    <mergeCell ref="C8:I8"/>
    <mergeCell ref="A9:B9"/>
    <mergeCell ref="C9:I9"/>
    <mergeCell ref="A10:B10"/>
    <mergeCell ref="C10:I10"/>
    <mergeCell ref="A4:I4"/>
    <mergeCell ref="A6:B6"/>
    <mergeCell ref="E6:F6"/>
    <mergeCell ref="G6:H6"/>
    <mergeCell ref="A7:B7"/>
    <mergeCell ref="C7:I7"/>
    <mergeCell ref="A1:A3"/>
    <mergeCell ref="B1:E2"/>
    <mergeCell ref="F1:G1"/>
    <mergeCell ref="H1:I1"/>
    <mergeCell ref="F2:G2"/>
    <mergeCell ref="H2:I2"/>
    <mergeCell ref="B3:E3"/>
    <mergeCell ref="F3:G3"/>
    <mergeCell ref="H3:I3"/>
  </mergeCells>
  <conditionalFormatting sqref="C17:I17">
    <cfRule type="expression" dxfId="19" priority="5">
      <formula>$C$17&lt;=0</formula>
    </cfRule>
  </conditionalFormatting>
  <conditionalFormatting sqref="C18:I18">
    <cfRule type="expression" dxfId="18" priority="4">
      <formula>$C$18&lt;=0</formula>
    </cfRule>
  </conditionalFormatting>
  <conditionalFormatting sqref="C20:I20">
    <cfRule type="expression" dxfId="17" priority="3">
      <formula>$C$20&lt;=0</formula>
    </cfRule>
  </conditionalFormatting>
  <conditionalFormatting sqref="C22:I22">
    <cfRule type="expression" dxfId="16" priority="2">
      <formula>$C$22&lt;=0</formula>
    </cfRule>
  </conditionalFormatting>
  <conditionalFormatting sqref="C21:I21">
    <cfRule type="expression" dxfId="15" priority="1">
      <formula>$C$21&lt;=0</formula>
    </cfRule>
  </conditionalFormatting>
  <printOptions horizontalCentered="1"/>
  <pageMargins left="0.78740157480314965" right="0.39370078740157483" top="0.59055118110236227" bottom="1.2598425196850394" header="0.31496062992125984" footer="0.11811023622047245"/>
  <pageSetup scale="82" orientation="portrait" r:id="rId1"/>
  <headerFooter>
    <oddFooter>&amp;L&amp;G&amp;R&amp;"-,Cursiva"&amp;9Página &amp;P de &amp;N&amp;"-,Normal"&amp;11
&amp;G</oddFooter>
  </headerFooter>
  <drawing r:id="rId2"/>
  <legacyDrawingHF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K49"/>
  <sheetViews>
    <sheetView zoomScaleNormal="100" zoomScaleSheetLayoutView="90" workbookViewId="0">
      <selection activeCell="A29" sqref="A29"/>
    </sheetView>
  </sheetViews>
  <sheetFormatPr baseColWidth="10" defaultColWidth="11.5703125" defaultRowHeight="14.25"/>
  <cols>
    <col min="1" max="1" width="22.85546875" style="42" customWidth="1"/>
    <col min="2" max="2" width="8.7109375" style="42" customWidth="1"/>
    <col min="3" max="3" width="37.42578125" style="42" customWidth="1"/>
    <col min="4" max="4" width="7.28515625" style="42" customWidth="1"/>
    <col min="5" max="5" width="2.28515625" style="42" customWidth="1"/>
    <col min="6" max="6" width="8.5703125" style="42" customWidth="1"/>
    <col min="7" max="7" width="6.28515625" style="42" customWidth="1"/>
    <col min="8" max="8" width="4.28515625" style="42" customWidth="1"/>
    <col min="9" max="9" width="11.7109375" style="42" customWidth="1"/>
    <col min="10" max="10" width="11.5703125" style="42" customWidth="1"/>
    <col min="11" max="16384" width="11.5703125" style="42"/>
  </cols>
  <sheetData>
    <row r="1" spans="1:11" ht="24.6" customHeight="1">
      <c r="A1" s="972"/>
      <c r="B1" s="973" t="s">
        <v>276</v>
      </c>
      <c r="C1" s="973"/>
      <c r="D1" s="973"/>
      <c r="E1" s="973"/>
      <c r="F1" s="975" t="s">
        <v>90</v>
      </c>
      <c r="G1" s="975"/>
      <c r="H1" s="970" t="s">
        <v>84</v>
      </c>
      <c r="I1" s="970"/>
      <c r="J1" s="41"/>
    </row>
    <row r="2" spans="1:11" ht="24.6" customHeight="1">
      <c r="A2" s="972"/>
      <c r="B2" s="973"/>
      <c r="C2" s="973"/>
      <c r="D2" s="973"/>
      <c r="E2" s="973"/>
      <c r="F2" s="975" t="s">
        <v>89</v>
      </c>
      <c r="G2" s="975"/>
      <c r="H2" s="970">
        <v>1</v>
      </c>
      <c r="I2" s="970"/>
      <c r="J2" s="41"/>
    </row>
    <row r="3" spans="1:11" ht="24.6" customHeight="1">
      <c r="A3" s="972"/>
      <c r="B3" s="970" t="s">
        <v>93</v>
      </c>
      <c r="C3" s="970"/>
      <c r="D3" s="970"/>
      <c r="E3" s="970"/>
      <c r="F3" s="1160" t="s">
        <v>88</v>
      </c>
      <c r="G3" s="1161"/>
      <c r="H3" s="970"/>
      <c r="I3" s="970"/>
      <c r="J3" s="41"/>
    </row>
    <row r="4" spans="1:11" ht="34.9" customHeight="1">
      <c r="A4" s="1019" t="s">
        <v>292</v>
      </c>
      <c r="B4" s="1162"/>
      <c r="C4" s="1162"/>
      <c r="D4" s="1162"/>
      <c r="E4" s="1162"/>
      <c r="F4" s="1162"/>
      <c r="G4" s="1162"/>
      <c r="H4" s="1162"/>
      <c r="I4" s="1162"/>
      <c r="J4" s="41"/>
    </row>
    <row r="5" spans="1:11" ht="3" customHeight="1">
      <c r="A5" s="135"/>
      <c r="B5" s="138"/>
      <c r="C5" s="138"/>
      <c r="D5" s="138"/>
      <c r="E5" s="138"/>
      <c r="F5" s="138"/>
      <c r="G5" s="138"/>
      <c r="H5" s="138"/>
      <c r="I5" s="138"/>
      <c r="J5" s="41"/>
    </row>
    <row r="6" spans="1:11" ht="19.149999999999999" customHeight="1">
      <c r="A6" s="962" t="s">
        <v>1</v>
      </c>
      <c r="B6" s="962"/>
      <c r="C6" s="51">
        <f>DATOS!$E$10</f>
        <v>0</v>
      </c>
      <c r="D6" s="181" t="s">
        <v>92</v>
      </c>
      <c r="E6" s="974">
        <f>DATOS!E12</f>
        <v>0</v>
      </c>
      <c r="F6" s="974"/>
      <c r="G6" s="962" t="s">
        <v>86</v>
      </c>
      <c r="H6" s="962"/>
      <c r="I6" s="136">
        <f>DATOS!I12</f>
        <v>0</v>
      </c>
      <c r="J6" s="41"/>
    </row>
    <row r="7" spans="1:11" ht="19.149999999999999" customHeight="1">
      <c r="A7" s="962" t="s">
        <v>94</v>
      </c>
      <c r="B7" s="962"/>
      <c r="C7" s="963" t="s">
        <v>101</v>
      </c>
      <c r="D7" s="963"/>
      <c r="E7" s="963"/>
      <c r="F7" s="963"/>
      <c r="G7" s="963"/>
      <c r="H7" s="963"/>
      <c r="I7" s="963"/>
      <c r="J7" s="41"/>
    </row>
    <row r="8" spans="1:11" ht="19.149999999999999" customHeight="1">
      <c r="A8" s="962" t="s">
        <v>95</v>
      </c>
      <c r="B8" s="962"/>
      <c r="C8" s="963" t="s">
        <v>102</v>
      </c>
      <c r="D8" s="963"/>
      <c r="E8" s="963"/>
      <c r="F8" s="963"/>
      <c r="G8" s="963"/>
      <c r="H8" s="963"/>
      <c r="I8" s="963"/>
      <c r="J8" s="41"/>
    </row>
    <row r="9" spans="1:11" ht="19.149999999999999" customHeight="1">
      <c r="A9" s="962" t="str">
        <f>IF('SUSP 8'!C6="CONTRATO DE OBRA",("INTERVENTOR"),("SUPERVISOR"))</f>
        <v>SUPERVISOR</v>
      </c>
      <c r="B9" s="962"/>
      <c r="C9" s="963">
        <f>LOOKUP(A9,DATOS!C24:C30,DATOS!G24:G30)</f>
        <v>0</v>
      </c>
      <c r="D9" s="963"/>
      <c r="E9" s="963"/>
      <c r="F9" s="963"/>
      <c r="G9" s="963"/>
      <c r="H9" s="963"/>
      <c r="I9" s="963"/>
      <c r="K9" s="42" t="str">
        <f>LOOKUP(A9,DATOS!C24:C30,DATOS!M24:M30)</f>
        <v>la</v>
      </c>
    </row>
    <row r="10" spans="1:11" ht="19.149999999999999" customHeight="1">
      <c r="A10" s="962" t="s">
        <v>95</v>
      </c>
      <c r="B10" s="962"/>
      <c r="C10" s="963">
        <f>IF(A9=DATOS!C24,DATOS!E26,DATOS!E32)</f>
        <v>0</v>
      </c>
      <c r="D10" s="963"/>
      <c r="E10" s="963"/>
      <c r="F10" s="963"/>
      <c r="G10" s="963"/>
      <c r="H10" s="963"/>
      <c r="I10" s="963"/>
    </row>
    <row r="11" spans="1:11" ht="19.149999999999999" customHeight="1">
      <c r="A11" s="962" t="s">
        <v>5</v>
      </c>
      <c r="B11" s="962"/>
      <c r="C11" s="963" t="str">
        <f>IF(DATOS!G28&gt;0,DATOS!G28,"N/A")</f>
        <v>N/A</v>
      </c>
      <c r="D11" s="963"/>
      <c r="E11" s="963"/>
      <c r="F11" s="963"/>
      <c r="G11" s="963"/>
      <c r="H11" s="963"/>
      <c r="I11" s="963"/>
    </row>
    <row r="12" spans="1:11" ht="19.149999999999999" customHeight="1">
      <c r="A12" s="962" t="s">
        <v>107</v>
      </c>
      <c r="B12" s="962"/>
      <c r="C12" s="963">
        <f>DATOS!G16</f>
        <v>0</v>
      </c>
      <c r="D12" s="963"/>
      <c r="E12" s="963"/>
      <c r="F12" s="963"/>
      <c r="G12" s="963"/>
      <c r="H12" s="963"/>
      <c r="I12" s="963"/>
      <c r="K12" s="42" t="str">
        <f>DATOS!M16</f>
        <v>la</v>
      </c>
    </row>
    <row r="13" spans="1:11" ht="19.149999999999999" customHeight="1">
      <c r="A13" s="962" t="s">
        <v>95</v>
      </c>
      <c r="B13" s="962"/>
      <c r="C13" s="1163">
        <f>DATOS!E18</f>
        <v>0</v>
      </c>
      <c r="D13" s="963"/>
      <c r="E13" s="963"/>
      <c r="F13" s="963"/>
      <c r="G13" s="963"/>
      <c r="H13" s="963"/>
      <c r="I13" s="963"/>
    </row>
    <row r="14" spans="1:11" ht="19.149999999999999" customHeight="1">
      <c r="A14" s="962" t="s">
        <v>5</v>
      </c>
      <c r="B14" s="962"/>
      <c r="C14" s="963" t="str">
        <f>IF(DATOS!G20&gt;0,DATOS!G20,"N/A")</f>
        <v>N/A</v>
      </c>
      <c r="D14" s="963"/>
      <c r="E14" s="963"/>
      <c r="F14" s="963"/>
      <c r="G14" s="963"/>
      <c r="H14" s="963"/>
      <c r="I14" s="963"/>
      <c r="K14" s="42" t="str">
        <f>DATOS!M20</f>
        <v>la</v>
      </c>
    </row>
    <row r="15" spans="1:11" ht="66.599999999999994" customHeight="1">
      <c r="A15" s="962" t="s">
        <v>8</v>
      </c>
      <c r="B15" s="962"/>
      <c r="C15" s="968">
        <f>DATOS!E38</f>
        <v>0</v>
      </c>
      <c r="D15" s="968"/>
      <c r="E15" s="968"/>
      <c r="F15" s="968"/>
      <c r="G15" s="968"/>
      <c r="H15" s="968"/>
      <c r="I15" s="968"/>
    </row>
    <row r="16" spans="1:11" ht="19.149999999999999" customHeight="1">
      <c r="A16" s="962" t="s">
        <v>12</v>
      </c>
      <c r="B16" s="962"/>
      <c r="C16" s="969">
        <f>DATOS!E46</f>
        <v>0</v>
      </c>
      <c r="D16" s="969"/>
      <c r="E16" s="969"/>
      <c r="F16" s="969"/>
      <c r="G16" s="969"/>
      <c r="H16" s="969"/>
      <c r="I16" s="969"/>
    </row>
    <row r="17" spans="1:10" ht="19.149999999999999" customHeight="1">
      <c r="A17" s="962" t="s">
        <v>278</v>
      </c>
      <c r="B17" s="962"/>
      <c r="C17" s="969">
        <f>DATOS!E60</f>
        <v>30000000</v>
      </c>
      <c r="D17" s="969"/>
      <c r="E17" s="969"/>
      <c r="F17" s="969"/>
      <c r="G17" s="969"/>
      <c r="H17" s="969"/>
      <c r="I17" s="969"/>
    </row>
    <row r="18" spans="1:10" ht="19.149999999999999" customHeight="1">
      <c r="A18" s="962" t="s">
        <v>279</v>
      </c>
      <c r="B18" s="962"/>
      <c r="C18" s="969">
        <f>DATOS!E62</f>
        <v>0</v>
      </c>
      <c r="D18" s="969"/>
      <c r="E18" s="969"/>
      <c r="F18" s="969"/>
      <c r="G18" s="969"/>
      <c r="H18" s="969"/>
      <c r="I18" s="969"/>
    </row>
    <row r="19" spans="1:10" ht="19.149999999999999" customHeight="1">
      <c r="A19" s="962" t="s">
        <v>11</v>
      </c>
      <c r="B19" s="962"/>
      <c r="C19" s="963" t="str">
        <f>CONCATENATE(DATOS!E44,DATOS!F44,DATOS!G44)</f>
        <v xml:space="preserve"> </v>
      </c>
      <c r="D19" s="963"/>
      <c r="E19" s="963"/>
      <c r="F19" s="963"/>
      <c r="G19" s="963"/>
      <c r="H19" s="963"/>
      <c r="I19" s="963"/>
    </row>
    <row r="20" spans="1:10" ht="19.149999999999999" customHeight="1">
      <c r="A20" s="962" t="s">
        <v>280</v>
      </c>
      <c r="B20" s="962"/>
      <c r="C20" s="963" t="str">
        <f>IF(DATOS!E64&gt;0,CONCATENATE(DATOS!E64,DATOS!F64,DATOS!G64),0)</f>
        <v>5 MESES</v>
      </c>
      <c r="D20" s="963"/>
      <c r="E20" s="963"/>
      <c r="F20" s="963"/>
      <c r="G20" s="963"/>
      <c r="H20" s="963"/>
      <c r="I20" s="963"/>
    </row>
    <row r="21" spans="1:10" ht="19.149999999999999" customHeight="1">
      <c r="A21" s="962" t="s">
        <v>281</v>
      </c>
      <c r="B21" s="962"/>
      <c r="C21" s="963">
        <f>IF(DATOS!E66&gt;0,CONCATENATE(DATOS!E66,DATOS!F66,DATOS!G66),0)</f>
        <v>0</v>
      </c>
      <c r="D21" s="963"/>
      <c r="E21" s="963"/>
      <c r="F21" s="963"/>
      <c r="G21" s="963"/>
      <c r="H21" s="963"/>
      <c r="I21" s="963"/>
    </row>
    <row r="22" spans="1:10" ht="19.149999999999999" customHeight="1">
      <c r="A22" s="962" t="s">
        <v>282</v>
      </c>
      <c r="B22" s="962"/>
      <c r="C22" s="963">
        <f>IF(DATOS!E68&gt;0,CONCATENATE(DATOS!E68,DATOS!F68,DATOS!G68),0)</f>
        <v>0</v>
      </c>
      <c r="D22" s="963"/>
      <c r="E22" s="963"/>
      <c r="F22" s="963"/>
      <c r="G22" s="963"/>
      <c r="H22" s="963"/>
      <c r="I22" s="963"/>
    </row>
    <row r="23" spans="1:10" ht="27.6" customHeight="1">
      <c r="A23" s="53"/>
      <c r="B23" s="53"/>
      <c r="C23" s="53"/>
      <c r="D23" s="53"/>
      <c r="E23" s="53"/>
      <c r="F23" s="53"/>
      <c r="G23" s="53"/>
      <c r="H23" s="53"/>
      <c r="I23" s="53"/>
    </row>
    <row r="24" spans="1:10" ht="96" customHeight="1">
      <c r="A24" s="961" t="str">
        <f>IF(DATOS!E16="Persona Jurídica",IF(DATOS!E24="Persona Jurídica","En Popayán el día "&amp;IF((TEXT(DATOS!E114,"d"))="1",("Uno" &amp;" ("&amp;TEXT(DATOS!E114,"dd")&amp;") del mes de "&amp;TEXT(DATOS!E114,"mmmm")&amp;" de "&amp;TEXT(DATOS!E114,"yyyy")&amp;", se reunieron "&amp;DATOS!M28&amp;"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referencia."),LETRAS(TEXT(DATOS!E114,"d"))&amp;" ("&amp;TEXT(DATOS!E114,"dd")&amp;") del mes de "&amp;TEXT(DATOS!E114,"mmmm")&amp;" de "&amp;TEXT(DATOS!E114,"yyyy")&amp;", se reunieron "&amp;DATOS!M28&amp;"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referencia."),"En Popayán el día "&amp;IF((TEXT(DATOS!E114,"d"))="1",("Uno" &amp;" ("&amp;TEXT(DATOS!E114,"dd")&amp;") del mes de "&amp;TEXT(DATOS!E114,"mmmm")&amp;" de "&amp;TEXT(DATOS!E114,"yyyy")&amp;", se reunieron "&amp;K9&amp;"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referencia."),LETRAS(TEXT(DATOS!E114,"d"))&amp;" ("&amp;TEXT(DATOS!E114,"dd")&amp;") del mes de "&amp;TEXT(DATOS!E114,"mmmm")&amp;" de "&amp;TEXT(DATOS!E114,"yyyy")&amp;", se reunieron "&amp;K9&amp;"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referencia.")),IF(DATOS!E24="Persona Jurídica","En Popayán el día "&amp;IF((TEXT(DATOS!E114,"d"))="1",("Uno" &amp;" ("&amp;TEXT(DATOS!E114,"dd")&amp;") del mes de "&amp;TEXT(DATOS!E114,"mmmm")&amp;" de "&amp;TEXT(DATOS!E114,"yyyy")&amp;", se reunieron "&amp;DATOS!M28&amp;"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referencia."),LETRAS(TEXT(DATOS!E114,"d"))&amp;" ("&amp;TEXT(DATOS!E114,"dd")&amp;") del mes de "&amp;TEXT(DATOS!E114,"mmmm")&amp;" de "&amp;TEXT(DATOS!E114,"yyyy")&amp;", se reunieron "&amp;DATOS!M28&amp;"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referencia."),"En Popayán el día "&amp;IF((TEXT(DATOS!E114,"d"))="1",("Uno" &amp;" ("&amp;TEXT(DATOS!E114,"dd")&amp;") del mes de "&amp;TEXT(DATOS!E114,"mmmm")&amp;" de "&amp;TEXT(DATOS!E114,"yyyy")&amp;", se reunieron "&amp;K9&amp;" "&amp;DATOS!E24&amp;" "&amp;C9&amp;", en calidad de "&amp;A9&amp;" del "&amp;DATOS!E10&amp;" No. "&amp;DATOS!E12&amp;" "&amp;DATOS!G12&amp;" "&amp;DATOS!I12&amp;", por una parte, y por la otra "&amp;K12&amp;" "&amp;DATOS!E16&amp;" "&amp;C12&amp;" en calidad de "&amp;A12&amp;", para acordar la suspensión del contrato en referencia."),LETRAS(TEXT(DATOS!E114,"d"))&amp;" ("&amp;TEXT(DATOS!E114,"dd")&amp;") del mes de "&amp;TEXT(DATOS!E114,"mmmm")&amp;" de "&amp;TEXT(DATOS!E114,"yyyy")&amp;", se reunieron "&amp;K9&amp;" "&amp;DATOS!E24&amp;" "&amp;C9&amp;", en calidad de "&amp;A9&amp;" del "&amp;DATOS!E10&amp;" No. "&amp;DATOS!E12&amp;" "&amp;DATOS!G12&amp;" "&amp;DATOS!I12&amp;", por una parte, y por la otra "&amp;K12&amp;" "&amp;DATOS!E16&amp;" "&amp;C12&amp;" en calidad de "&amp;A12&amp;", para acordar la suspensión del contrato en referencia.")))</f>
        <v>En Popayán el día Cero (00) del mes de January de 1900, se reunieron la  0, en calidad de SUPERVISOR del  No.   , por una parte, y por la otra la  0 en calidad de CONTRATISTA, para acordar la suspensión del contrato en referencia.</v>
      </c>
      <c r="B24" s="961"/>
      <c r="C24" s="961"/>
      <c r="D24" s="961"/>
      <c r="E24" s="961"/>
      <c r="F24" s="961"/>
      <c r="G24" s="961"/>
      <c r="H24" s="961"/>
      <c r="I24" s="961"/>
      <c r="J24" s="50"/>
    </row>
    <row r="25" spans="1:10" ht="15.75">
      <c r="A25" s="1165" t="s">
        <v>283</v>
      </c>
      <c r="B25" s="1165"/>
      <c r="C25" s="1165"/>
      <c r="D25" s="1165"/>
      <c r="E25" s="1165"/>
      <c r="F25" s="1165"/>
      <c r="G25" s="1165"/>
      <c r="H25" s="1165"/>
      <c r="I25" s="1165"/>
      <c r="J25" s="50"/>
    </row>
    <row r="26" spans="1:10" ht="15">
      <c r="A26" s="137"/>
      <c r="B26" s="137"/>
      <c r="C26" s="137"/>
      <c r="D26" s="137"/>
      <c r="E26" s="137"/>
      <c r="F26" s="137"/>
      <c r="G26" s="137"/>
      <c r="H26" s="137"/>
      <c r="I26" s="137"/>
      <c r="J26" s="50"/>
    </row>
    <row r="27" spans="1:10" ht="71.45" customHeight="1">
      <c r="A27" s="961" t="str">
        <f>"PRIMERO. - De común acuerdo suspender temporalmente el "&amp;DATOS!E10&amp;" No. "&amp;DATOS!E12&amp;" "&amp;DATOS!G12&amp;" "&amp;DATOS!I12&amp;", cuyo objeto es "&amp;DATOS!E38&amp;", teniendo en cuenta las siguientes consideraciones que han impedido la ejecución del mencionado contrato:"</f>
        <v>PRIMERO. - De común acuerdo suspender temporalmente el  No.   , cuyo objeto es , teniendo en cuenta las siguientes consideraciones que han impedido la ejecución del mencionado contrato:</v>
      </c>
      <c r="B27" s="961"/>
      <c r="C27" s="961"/>
      <c r="D27" s="961"/>
      <c r="E27" s="961"/>
      <c r="F27" s="961"/>
      <c r="G27" s="961"/>
      <c r="H27" s="961"/>
      <c r="I27" s="961"/>
      <c r="J27" s="50"/>
    </row>
    <row r="28" spans="1:10" ht="15">
      <c r="A28" s="1166" t="s">
        <v>335</v>
      </c>
      <c r="B28" s="961"/>
      <c r="C28" s="961"/>
      <c r="D28" s="961"/>
      <c r="E28" s="961"/>
      <c r="F28" s="961"/>
      <c r="G28" s="961"/>
      <c r="H28" s="961"/>
      <c r="I28" s="961"/>
      <c r="J28" s="50"/>
    </row>
    <row r="29" spans="1:10" ht="19.899999999999999" customHeight="1">
      <c r="A29" s="137"/>
      <c r="B29" s="137"/>
      <c r="C29" s="137"/>
      <c r="D29" s="137"/>
      <c r="E29" s="137"/>
      <c r="F29" s="137"/>
      <c r="G29" s="137"/>
      <c r="H29" s="137"/>
      <c r="I29" s="137"/>
      <c r="J29" s="50"/>
    </row>
    <row r="30" spans="1:10" ht="97.9" customHeight="1">
      <c r="A30" s="961" t="s">
        <v>284</v>
      </c>
      <c r="B30" s="961"/>
      <c r="C30" s="961"/>
      <c r="D30" s="961"/>
      <c r="E30" s="961"/>
      <c r="F30" s="961"/>
      <c r="G30" s="961"/>
      <c r="H30" s="961"/>
      <c r="I30" s="961"/>
      <c r="J30" s="50"/>
    </row>
    <row r="31" spans="1:10" ht="15">
      <c r="A31" s="53"/>
      <c r="B31" s="53"/>
      <c r="C31" s="53"/>
      <c r="D31" s="53"/>
      <c r="E31" s="53"/>
      <c r="F31" s="53"/>
      <c r="G31" s="53"/>
      <c r="H31" s="53"/>
      <c r="I31" s="53"/>
    </row>
    <row r="32" spans="1:10" ht="31.9" customHeight="1">
      <c r="A32" s="964" t="str">
        <f>"Para constancia de lo anterior, se firma en Popayán (Cauca) el día "&amp;IF((TEXT(DATOS!E114,"d"))="1",("Uno"&amp;" ("&amp;TEXT(DATOS!E114,"dd")&amp;") del mes de "&amp;TEXT(DATOS!E114,"mmmm")&amp;" de "&amp;LETRAS(TEXT(DATOS!E114,"YYYY"))&amp;" ("&amp;TEXT(DATOS!E114,"yyyy"))&amp;").",LETRAS(TEXT(DATOS!E114,"d"))&amp;" ("&amp;TEXT(DATOS!E114,"dd")&amp;") del mes de "&amp;TEXT(DATOS!E114,"mmmm")&amp;" de "&amp;LETRAS(TEXT(DATOS!E114,"YYYY"))&amp;" ("&amp;TEXT(DATOS!E114,"yyyy")&amp;").")</f>
        <v>Para constancia de lo anterior, se firma en Popayán (Cauca) el día Cero (00) del mes de January de Mil Novecientos (1900).</v>
      </c>
      <c r="B32" s="964"/>
      <c r="C32" s="964"/>
      <c r="D32" s="964"/>
      <c r="E32" s="964"/>
      <c r="F32" s="964"/>
      <c r="G32" s="964"/>
      <c r="H32" s="964"/>
      <c r="I32" s="964"/>
    </row>
    <row r="33" spans="1:10" ht="15">
      <c r="A33" s="961"/>
      <c r="B33" s="961"/>
      <c r="C33" s="961"/>
      <c r="D33" s="961"/>
      <c r="E33" s="961"/>
      <c r="F33" s="961"/>
      <c r="G33" s="961"/>
      <c r="H33" s="961"/>
      <c r="I33" s="961"/>
      <c r="J33" s="50"/>
    </row>
    <row r="34" spans="1:10" ht="15">
      <c r="A34" s="53"/>
      <c r="B34" s="53"/>
      <c r="C34" s="53"/>
      <c r="D34" s="53"/>
      <c r="E34" s="53"/>
      <c r="F34" s="53"/>
      <c r="G34" s="53"/>
      <c r="H34" s="53"/>
      <c r="I34" s="53"/>
    </row>
    <row r="35" spans="1:10" ht="15">
      <c r="A35" s="53"/>
      <c r="B35" s="53"/>
      <c r="C35" s="53"/>
      <c r="D35" s="53"/>
      <c r="E35" s="53"/>
      <c r="F35" s="53"/>
      <c r="G35" s="53"/>
      <c r="H35" s="53"/>
      <c r="I35" s="53"/>
    </row>
    <row r="36" spans="1:10" ht="15">
      <c r="A36" s="53"/>
      <c r="B36" s="53"/>
      <c r="C36" s="53"/>
      <c r="D36" s="53"/>
      <c r="E36" s="53"/>
      <c r="F36" s="53"/>
      <c r="G36" s="53"/>
      <c r="H36" s="53"/>
      <c r="I36" s="53"/>
    </row>
    <row r="37" spans="1:10" ht="15">
      <c r="A37" s="53"/>
      <c r="B37" s="53"/>
      <c r="C37" s="53"/>
      <c r="D37" s="53"/>
      <c r="E37" s="53"/>
      <c r="F37" s="53"/>
      <c r="G37" s="53"/>
      <c r="H37" s="53"/>
      <c r="I37" s="53"/>
    </row>
    <row r="38" spans="1:10" ht="15.75">
      <c r="A38" s="53"/>
      <c r="B38" s="54">
        <f>IF(DATOS!E16="Persona Jurídica",DATOS!G20,DATOS!G16)</f>
        <v>0</v>
      </c>
      <c r="C38" s="53"/>
      <c r="D38" s="53"/>
      <c r="E38" s="53"/>
      <c r="F38" s="54">
        <f>IF(DATOS!E10="CONTRATO DE OBRA",IF(DATOS!E24="Persona Jurídica",DATOS!G28,DATOS!G24),DATOS!G30)</f>
        <v>0</v>
      </c>
      <c r="G38" s="53"/>
      <c r="H38" s="53"/>
      <c r="I38" s="53"/>
    </row>
    <row r="39" spans="1:10" ht="15">
      <c r="A39" s="53"/>
      <c r="B39" s="55" t="str">
        <f>IF(DATOS!E16="Persona Jurídica",DATOS!G16,"Contratista")</f>
        <v>Contratista</v>
      </c>
      <c r="C39" s="53"/>
      <c r="D39" s="53"/>
      <c r="E39" s="53"/>
      <c r="F39" s="55" t="str">
        <f>IF(DATOS!E24="Persona Jurídica",DATOS!G24,"Interventor")</f>
        <v>Interventor</v>
      </c>
      <c r="G39" s="53"/>
      <c r="H39" s="53"/>
      <c r="I39" s="53"/>
    </row>
    <row r="40" spans="1:10" ht="15">
      <c r="A40" s="53"/>
      <c r="B40" s="55" t="str">
        <f>IF(DATOS!E16="Persona jurídica","Contratista"," ")</f>
        <v xml:space="preserve"> </v>
      </c>
      <c r="C40" s="53"/>
      <c r="D40" s="53"/>
      <c r="E40" s="53"/>
      <c r="F40" s="55" t="str">
        <f>IF(DATOS!E24="Persona jurídica","Interventor"," ")</f>
        <v xml:space="preserve"> </v>
      </c>
      <c r="G40" s="53"/>
      <c r="H40" s="53"/>
      <c r="I40" s="53"/>
    </row>
    <row r="41" spans="1:10" ht="15">
      <c r="A41" s="53"/>
      <c r="B41" s="55"/>
      <c r="C41" s="53"/>
      <c r="D41" s="53"/>
      <c r="E41" s="53"/>
      <c r="F41" s="55"/>
      <c r="G41" s="53"/>
      <c r="H41" s="53"/>
      <c r="I41" s="53"/>
    </row>
    <row r="42" spans="1:10" ht="15">
      <c r="A42" s="53"/>
      <c r="B42" s="55"/>
      <c r="C42" s="53"/>
      <c r="D42" s="53"/>
      <c r="E42" s="53"/>
      <c r="F42" s="55"/>
      <c r="G42" s="53"/>
      <c r="H42" s="53"/>
      <c r="I42" s="53"/>
    </row>
    <row r="43" spans="1:10" ht="15">
      <c r="A43" s="53"/>
      <c r="B43" s="55"/>
      <c r="C43" s="53"/>
      <c r="D43" s="53"/>
      <c r="E43" s="53"/>
      <c r="F43" s="55"/>
      <c r="G43" s="53"/>
      <c r="H43" s="53"/>
      <c r="I43" s="53"/>
    </row>
    <row r="44" spans="1:10" ht="15">
      <c r="A44" s="53"/>
      <c r="B44" s="55"/>
      <c r="C44" s="53"/>
      <c r="D44" s="53"/>
      <c r="E44" s="53"/>
      <c r="F44" s="55"/>
      <c r="G44" s="53"/>
      <c r="H44" s="53"/>
      <c r="I44" s="53"/>
    </row>
    <row r="45" spans="1:10" ht="15">
      <c r="A45" s="53"/>
      <c r="B45" s="55"/>
      <c r="C45" s="53"/>
      <c r="D45" s="53"/>
      <c r="E45" s="53"/>
      <c r="F45" s="55"/>
      <c r="G45" s="53"/>
      <c r="H45" s="53"/>
      <c r="I45" s="53"/>
    </row>
    <row r="46" spans="1:10" ht="15.75">
      <c r="A46" s="1273">
        <f>DATOS!G30</f>
        <v>0</v>
      </c>
      <c r="B46" s="1273"/>
      <c r="C46" s="1273"/>
      <c r="D46" s="1273"/>
      <c r="E46" s="1273"/>
      <c r="F46" s="1273"/>
      <c r="G46" s="1273"/>
      <c r="H46" s="1273"/>
      <c r="I46" s="1273"/>
    </row>
    <row r="47" spans="1:10" ht="15.6" customHeight="1">
      <c r="A47" s="1272" t="s">
        <v>285</v>
      </c>
      <c r="B47" s="1272"/>
      <c r="C47" s="1272"/>
      <c r="D47" s="1272"/>
      <c r="E47" s="1272"/>
      <c r="F47" s="1272"/>
      <c r="G47" s="1272"/>
      <c r="H47" s="1272"/>
      <c r="I47" s="1272"/>
    </row>
    <row r="48" spans="1:10" ht="15">
      <c r="A48" s="53"/>
      <c r="B48" s="55"/>
      <c r="C48" s="53"/>
      <c r="D48" s="53"/>
      <c r="E48" s="53"/>
      <c r="F48" s="55"/>
      <c r="G48" s="53"/>
      <c r="H48" s="53"/>
      <c r="I48" s="53"/>
    </row>
    <row r="49" spans="1:10" ht="15">
      <c r="A49" s="53"/>
      <c r="B49" s="53"/>
      <c r="C49" s="53"/>
      <c r="D49" s="53"/>
      <c r="E49" s="53"/>
      <c r="F49" s="53"/>
      <c r="G49" s="53"/>
      <c r="H49" s="53"/>
      <c r="I49" s="53"/>
      <c r="J49" s="50"/>
    </row>
  </sheetData>
  <mergeCells count="54">
    <mergeCell ref="A46:I46"/>
    <mergeCell ref="A47:I47"/>
    <mergeCell ref="A24:I24"/>
    <mergeCell ref="A25:I25"/>
    <mergeCell ref="A27:I27"/>
    <mergeCell ref="A30:I30"/>
    <mergeCell ref="A32:I32"/>
    <mergeCell ref="A33:I33"/>
    <mergeCell ref="A28:I28"/>
    <mergeCell ref="A20:B20"/>
    <mergeCell ref="C20:I20"/>
    <mergeCell ref="A21:B21"/>
    <mergeCell ref="C21:I21"/>
    <mergeCell ref="A22:B22"/>
    <mergeCell ref="C22:I22"/>
    <mergeCell ref="A17:B17"/>
    <mergeCell ref="C17:I17"/>
    <mergeCell ref="A18:B18"/>
    <mergeCell ref="C18:I18"/>
    <mergeCell ref="A19:B19"/>
    <mergeCell ref="C19:I19"/>
    <mergeCell ref="A14:B14"/>
    <mergeCell ref="C14:I14"/>
    <mergeCell ref="A15:B15"/>
    <mergeCell ref="C15:I15"/>
    <mergeCell ref="A16:B16"/>
    <mergeCell ref="C16:I16"/>
    <mergeCell ref="A11:B11"/>
    <mergeCell ref="C11:I11"/>
    <mergeCell ref="A12:B12"/>
    <mergeCell ref="C12:I12"/>
    <mergeCell ref="A13:B13"/>
    <mergeCell ref="C13:I13"/>
    <mergeCell ref="A8:B8"/>
    <mergeCell ref="C8:I8"/>
    <mergeCell ref="A9:B9"/>
    <mergeCell ref="C9:I9"/>
    <mergeCell ref="A10:B10"/>
    <mergeCell ref="C10:I10"/>
    <mergeCell ref="A4:I4"/>
    <mergeCell ref="A6:B6"/>
    <mergeCell ref="E6:F6"/>
    <mergeCell ref="G6:H6"/>
    <mergeCell ref="A7:B7"/>
    <mergeCell ref="C7:I7"/>
    <mergeCell ref="A1:A3"/>
    <mergeCell ref="B1:E2"/>
    <mergeCell ref="F1:G1"/>
    <mergeCell ref="H1:I1"/>
    <mergeCell ref="F2:G2"/>
    <mergeCell ref="H2:I2"/>
    <mergeCell ref="B3:E3"/>
    <mergeCell ref="F3:G3"/>
    <mergeCell ref="H3:I3"/>
  </mergeCells>
  <conditionalFormatting sqref="C17:I17">
    <cfRule type="expression" dxfId="14" priority="5">
      <formula>$C$17&lt;=0</formula>
    </cfRule>
  </conditionalFormatting>
  <conditionalFormatting sqref="C18:I18">
    <cfRule type="expression" dxfId="13" priority="4">
      <formula>$C$18&lt;=0</formula>
    </cfRule>
  </conditionalFormatting>
  <conditionalFormatting sqref="C20:I20">
    <cfRule type="expression" dxfId="12" priority="3">
      <formula>$C$20&lt;=0</formula>
    </cfRule>
  </conditionalFormatting>
  <conditionalFormatting sqref="C22:I22">
    <cfRule type="expression" dxfId="11" priority="2">
      <formula>$C$22&lt;=0</formula>
    </cfRule>
  </conditionalFormatting>
  <conditionalFormatting sqref="C21:I21">
    <cfRule type="expression" dxfId="10" priority="1">
      <formula>$C$21&lt;=0</formula>
    </cfRule>
  </conditionalFormatting>
  <printOptions horizontalCentered="1"/>
  <pageMargins left="0.78740157480314965" right="0.39370078740157483" top="0.59055118110236227" bottom="1.2598425196850394" header="0.31496062992125984" footer="0.11811023622047245"/>
  <pageSetup scale="82" orientation="portrait" r:id="rId1"/>
  <headerFooter>
    <oddFooter>&amp;L&amp;G&amp;R&amp;"-,Cursiva"&amp;9Página &amp;P de &amp;N&amp;"-,Normal"&amp;11
&amp;G</oddFooter>
  </headerFooter>
  <drawing r:id="rId2"/>
  <legacyDrawingHF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K49"/>
  <sheetViews>
    <sheetView zoomScaleNormal="100" zoomScaleSheetLayoutView="90" workbookViewId="0">
      <selection activeCell="A29" sqref="A29"/>
    </sheetView>
  </sheetViews>
  <sheetFormatPr baseColWidth="10" defaultColWidth="11.5703125" defaultRowHeight="14.25"/>
  <cols>
    <col min="1" max="1" width="22.85546875" style="42" customWidth="1"/>
    <col min="2" max="2" width="8.7109375" style="42" customWidth="1"/>
    <col min="3" max="3" width="37.42578125" style="42" customWidth="1"/>
    <col min="4" max="4" width="7.28515625" style="42" customWidth="1"/>
    <col min="5" max="5" width="2.28515625" style="42" customWidth="1"/>
    <col min="6" max="6" width="8.5703125" style="42" customWidth="1"/>
    <col min="7" max="7" width="6.28515625" style="42" customWidth="1"/>
    <col min="8" max="8" width="4.28515625" style="42" customWidth="1"/>
    <col min="9" max="9" width="11.7109375" style="42" customWidth="1"/>
    <col min="10" max="10" width="11.5703125" style="42" customWidth="1"/>
    <col min="11" max="16384" width="11.5703125" style="42"/>
  </cols>
  <sheetData>
    <row r="1" spans="1:11" ht="24.6" customHeight="1">
      <c r="A1" s="972"/>
      <c r="B1" s="973" t="s">
        <v>276</v>
      </c>
      <c r="C1" s="973"/>
      <c r="D1" s="973"/>
      <c r="E1" s="973"/>
      <c r="F1" s="975" t="s">
        <v>90</v>
      </c>
      <c r="G1" s="975"/>
      <c r="H1" s="970" t="s">
        <v>84</v>
      </c>
      <c r="I1" s="970"/>
      <c r="J1" s="41"/>
    </row>
    <row r="2" spans="1:11" ht="24.6" customHeight="1">
      <c r="A2" s="972"/>
      <c r="B2" s="973"/>
      <c r="C2" s="973"/>
      <c r="D2" s="973"/>
      <c r="E2" s="973"/>
      <c r="F2" s="975" t="s">
        <v>89</v>
      </c>
      <c r="G2" s="975"/>
      <c r="H2" s="970">
        <v>1</v>
      </c>
      <c r="I2" s="970"/>
      <c r="J2" s="41"/>
    </row>
    <row r="3" spans="1:11" ht="24.6" customHeight="1">
      <c r="A3" s="972"/>
      <c r="B3" s="970" t="s">
        <v>93</v>
      </c>
      <c r="C3" s="970"/>
      <c r="D3" s="970"/>
      <c r="E3" s="970"/>
      <c r="F3" s="1160" t="s">
        <v>88</v>
      </c>
      <c r="G3" s="1161"/>
      <c r="H3" s="970"/>
      <c r="I3" s="970"/>
      <c r="J3" s="41"/>
    </row>
    <row r="4" spans="1:11" ht="34.9" customHeight="1">
      <c r="A4" s="1019" t="s">
        <v>293</v>
      </c>
      <c r="B4" s="1162"/>
      <c r="C4" s="1162"/>
      <c r="D4" s="1162"/>
      <c r="E4" s="1162"/>
      <c r="F4" s="1162"/>
      <c r="G4" s="1162"/>
      <c r="H4" s="1162"/>
      <c r="I4" s="1162"/>
      <c r="J4" s="41"/>
    </row>
    <row r="5" spans="1:11" ht="3" customHeight="1">
      <c r="A5" s="135"/>
      <c r="B5" s="138"/>
      <c r="C5" s="138"/>
      <c r="D5" s="138"/>
      <c r="E5" s="138"/>
      <c r="F5" s="138"/>
      <c r="G5" s="138"/>
      <c r="H5" s="138"/>
      <c r="I5" s="138"/>
      <c r="J5" s="41"/>
    </row>
    <row r="6" spans="1:11" ht="19.149999999999999" customHeight="1">
      <c r="A6" s="962" t="s">
        <v>1</v>
      </c>
      <c r="B6" s="962"/>
      <c r="C6" s="51">
        <f>DATOS!$E$10</f>
        <v>0</v>
      </c>
      <c r="D6" s="181" t="s">
        <v>92</v>
      </c>
      <c r="E6" s="974">
        <f>DATOS!E12</f>
        <v>0</v>
      </c>
      <c r="F6" s="974"/>
      <c r="G6" s="962" t="s">
        <v>86</v>
      </c>
      <c r="H6" s="962"/>
      <c r="I6" s="136">
        <f>DATOS!I12</f>
        <v>0</v>
      </c>
      <c r="J6" s="41"/>
    </row>
    <row r="7" spans="1:11" ht="19.149999999999999" customHeight="1">
      <c r="A7" s="962" t="s">
        <v>94</v>
      </c>
      <c r="B7" s="962"/>
      <c r="C7" s="963" t="s">
        <v>101</v>
      </c>
      <c r="D7" s="963"/>
      <c r="E7" s="963"/>
      <c r="F7" s="963"/>
      <c r="G7" s="963"/>
      <c r="H7" s="963"/>
      <c r="I7" s="963"/>
      <c r="J7" s="41"/>
    </row>
    <row r="8" spans="1:11" ht="19.149999999999999" customHeight="1">
      <c r="A8" s="962" t="s">
        <v>95</v>
      </c>
      <c r="B8" s="962"/>
      <c r="C8" s="963" t="s">
        <v>102</v>
      </c>
      <c r="D8" s="963"/>
      <c r="E8" s="963"/>
      <c r="F8" s="963"/>
      <c r="G8" s="963"/>
      <c r="H8" s="963"/>
      <c r="I8" s="963"/>
      <c r="J8" s="41"/>
    </row>
    <row r="9" spans="1:11" ht="19.149999999999999" customHeight="1">
      <c r="A9" s="962" t="str">
        <f>IF('SUSP 9'!C6="CONTRATO DE OBRA",("INTERVENTOR"),("SUPERVISOR"))</f>
        <v>SUPERVISOR</v>
      </c>
      <c r="B9" s="962"/>
      <c r="C9" s="963">
        <f>LOOKUP(A9,DATOS!C24:C30,DATOS!G24:G30)</f>
        <v>0</v>
      </c>
      <c r="D9" s="963"/>
      <c r="E9" s="963"/>
      <c r="F9" s="963"/>
      <c r="G9" s="963"/>
      <c r="H9" s="963"/>
      <c r="I9" s="963"/>
      <c r="K9" s="42" t="str">
        <f>LOOKUP(A9,DATOS!C24:C30,DATOS!M24:M30)</f>
        <v>la</v>
      </c>
    </row>
    <row r="10" spans="1:11" ht="19.149999999999999" customHeight="1">
      <c r="A10" s="962" t="s">
        <v>95</v>
      </c>
      <c r="B10" s="962"/>
      <c r="C10" s="963">
        <f>IF(A9=DATOS!C24,DATOS!E26,DATOS!E32)</f>
        <v>0</v>
      </c>
      <c r="D10" s="963"/>
      <c r="E10" s="963"/>
      <c r="F10" s="963"/>
      <c r="G10" s="963"/>
      <c r="H10" s="963"/>
      <c r="I10" s="963"/>
    </row>
    <row r="11" spans="1:11" ht="19.149999999999999" customHeight="1">
      <c r="A11" s="962" t="s">
        <v>5</v>
      </c>
      <c r="B11" s="962"/>
      <c r="C11" s="963" t="str">
        <f>IF(DATOS!G28&gt;0,DATOS!G28,"N/A")</f>
        <v>N/A</v>
      </c>
      <c r="D11" s="963"/>
      <c r="E11" s="963"/>
      <c r="F11" s="963"/>
      <c r="G11" s="963"/>
      <c r="H11" s="963"/>
      <c r="I11" s="963"/>
    </row>
    <row r="12" spans="1:11" ht="19.149999999999999" customHeight="1">
      <c r="A12" s="962" t="s">
        <v>107</v>
      </c>
      <c r="B12" s="962"/>
      <c r="C12" s="963">
        <f>DATOS!G16</f>
        <v>0</v>
      </c>
      <c r="D12" s="963"/>
      <c r="E12" s="963"/>
      <c r="F12" s="963"/>
      <c r="G12" s="963"/>
      <c r="H12" s="963"/>
      <c r="I12" s="963"/>
      <c r="K12" s="42" t="str">
        <f>DATOS!M16</f>
        <v>la</v>
      </c>
    </row>
    <row r="13" spans="1:11" ht="19.149999999999999" customHeight="1">
      <c r="A13" s="962" t="s">
        <v>95</v>
      </c>
      <c r="B13" s="962"/>
      <c r="C13" s="1163">
        <f>DATOS!E18</f>
        <v>0</v>
      </c>
      <c r="D13" s="963"/>
      <c r="E13" s="963"/>
      <c r="F13" s="963"/>
      <c r="G13" s="963"/>
      <c r="H13" s="963"/>
      <c r="I13" s="963"/>
    </row>
    <row r="14" spans="1:11" ht="19.149999999999999" customHeight="1">
      <c r="A14" s="962" t="s">
        <v>5</v>
      </c>
      <c r="B14" s="962"/>
      <c r="C14" s="963" t="str">
        <f>IF(DATOS!G20&gt;0,DATOS!G20,"N/A")</f>
        <v>N/A</v>
      </c>
      <c r="D14" s="963"/>
      <c r="E14" s="963"/>
      <c r="F14" s="963"/>
      <c r="G14" s="963"/>
      <c r="H14" s="963"/>
      <c r="I14" s="963"/>
      <c r="K14" s="42" t="str">
        <f>DATOS!M20</f>
        <v>la</v>
      </c>
    </row>
    <row r="15" spans="1:11" ht="66.599999999999994" customHeight="1">
      <c r="A15" s="962" t="s">
        <v>8</v>
      </c>
      <c r="B15" s="962"/>
      <c r="C15" s="968">
        <f>DATOS!E38</f>
        <v>0</v>
      </c>
      <c r="D15" s="968"/>
      <c r="E15" s="968"/>
      <c r="F15" s="968"/>
      <c r="G15" s="968"/>
      <c r="H15" s="968"/>
      <c r="I15" s="968"/>
    </row>
    <row r="16" spans="1:11" ht="19.149999999999999" customHeight="1">
      <c r="A16" s="962" t="s">
        <v>12</v>
      </c>
      <c r="B16" s="962"/>
      <c r="C16" s="969">
        <f>DATOS!E46</f>
        <v>0</v>
      </c>
      <c r="D16" s="969"/>
      <c r="E16" s="969"/>
      <c r="F16" s="969"/>
      <c r="G16" s="969"/>
      <c r="H16" s="969"/>
      <c r="I16" s="969"/>
    </row>
    <row r="17" spans="1:10" ht="19.149999999999999" customHeight="1">
      <c r="A17" s="962" t="s">
        <v>278</v>
      </c>
      <c r="B17" s="962"/>
      <c r="C17" s="969">
        <f>DATOS!E60</f>
        <v>30000000</v>
      </c>
      <c r="D17" s="969"/>
      <c r="E17" s="969"/>
      <c r="F17" s="969"/>
      <c r="G17" s="969"/>
      <c r="H17" s="969"/>
      <c r="I17" s="969"/>
    </row>
    <row r="18" spans="1:10" ht="19.149999999999999" customHeight="1">
      <c r="A18" s="962" t="s">
        <v>279</v>
      </c>
      <c r="B18" s="962"/>
      <c r="C18" s="969">
        <f>DATOS!E62</f>
        <v>0</v>
      </c>
      <c r="D18" s="969"/>
      <c r="E18" s="969"/>
      <c r="F18" s="969"/>
      <c r="G18" s="969"/>
      <c r="H18" s="969"/>
      <c r="I18" s="969"/>
    </row>
    <row r="19" spans="1:10" ht="19.149999999999999" customHeight="1">
      <c r="A19" s="962" t="s">
        <v>11</v>
      </c>
      <c r="B19" s="962"/>
      <c r="C19" s="963" t="str">
        <f>CONCATENATE(DATOS!E44,DATOS!F44,DATOS!G44)</f>
        <v xml:space="preserve"> </v>
      </c>
      <c r="D19" s="963"/>
      <c r="E19" s="963"/>
      <c r="F19" s="963"/>
      <c r="G19" s="963"/>
      <c r="H19" s="963"/>
      <c r="I19" s="963"/>
    </row>
    <row r="20" spans="1:10" ht="19.149999999999999" customHeight="1">
      <c r="A20" s="962" t="s">
        <v>280</v>
      </c>
      <c r="B20" s="962"/>
      <c r="C20" s="963" t="str">
        <f>IF(DATOS!E64&gt;0,CONCATENATE(DATOS!E64,DATOS!F64,DATOS!G64),0)</f>
        <v>5 MESES</v>
      </c>
      <c r="D20" s="963"/>
      <c r="E20" s="963"/>
      <c r="F20" s="963"/>
      <c r="G20" s="963"/>
      <c r="H20" s="963"/>
      <c r="I20" s="963"/>
    </row>
    <row r="21" spans="1:10" ht="19.149999999999999" customHeight="1">
      <c r="A21" s="962" t="s">
        <v>281</v>
      </c>
      <c r="B21" s="962"/>
      <c r="C21" s="963">
        <f>IF(DATOS!E66&gt;0,CONCATENATE(DATOS!E66,DATOS!F66,DATOS!G66),0)</f>
        <v>0</v>
      </c>
      <c r="D21" s="963"/>
      <c r="E21" s="963"/>
      <c r="F21" s="963"/>
      <c r="G21" s="963"/>
      <c r="H21" s="963"/>
      <c r="I21" s="963"/>
    </row>
    <row r="22" spans="1:10" ht="19.149999999999999" customHeight="1">
      <c r="A22" s="962" t="s">
        <v>282</v>
      </c>
      <c r="B22" s="962"/>
      <c r="C22" s="963">
        <f>IF(DATOS!E68&gt;0,CONCATENATE(DATOS!E68,DATOS!F68,DATOS!G68),0)</f>
        <v>0</v>
      </c>
      <c r="D22" s="963"/>
      <c r="E22" s="963"/>
      <c r="F22" s="963"/>
      <c r="G22" s="963"/>
      <c r="H22" s="963"/>
      <c r="I22" s="963"/>
    </row>
    <row r="23" spans="1:10" ht="27.6" customHeight="1">
      <c r="A23" s="53"/>
      <c r="B23" s="53"/>
      <c r="C23" s="53"/>
      <c r="D23" s="53"/>
      <c r="E23" s="53"/>
      <c r="F23" s="53"/>
      <c r="G23" s="53"/>
      <c r="H23" s="53"/>
      <c r="I23" s="53"/>
    </row>
    <row r="24" spans="1:10" ht="96" customHeight="1">
      <c r="A24" s="961" t="str">
        <f>IF(DATOS!E16="Persona Jurídica",IF(DATOS!E24="Persona Jurídica","En Popayán el día "&amp;IF((TEXT(DATOS!E120,"d"))="1",("Uno" &amp;" ("&amp;TEXT(DATOS!E120,"dd")&amp;") del mes de "&amp;TEXT(DATOS!E120,"mmmm")&amp;" de "&amp;TEXT(DATOS!E120,"yyyy")&amp;", se reunieron "&amp;DATOS!M28&amp;"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referencia."),LETRAS(TEXT(DATOS!E120,"d"))&amp;" ("&amp;TEXT(DATOS!E120,"dd")&amp;") del mes de "&amp;TEXT(DATOS!E120,"mmmm")&amp;" de "&amp;TEXT(DATOS!E120,"yyyy")&amp;", se reunieron "&amp;DATOS!M28&amp;"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referencia."),"En Popayán el día "&amp;IF((TEXT(DATOS!E120,"d"))="1",("Uno" &amp;" ("&amp;TEXT(DATOS!E120,"dd")&amp;") del mes de "&amp;TEXT(DATOS!E120,"mmmm")&amp;" de "&amp;TEXT(DATOS!E120,"yyyy")&amp;", se reunieron "&amp;K9&amp;"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referencia."),LETRAS(TEXT(DATOS!E120,"d"))&amp;" ("&amp;TEXT(DATOS!E120,"dd")&amp;") del mes de "&amp;TEXT(DATOS!E120,"mmmm")&amp;" de "&amp;TEXT(DATOS!E120,"yyyy")&amp;", se reunieron "&amp;K9&amp;"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referencia.")),IF(DATOS!E24="Persona Jurídica","En Popayán el día "&amp;IF((TEXT(DATOS!E120,"d"))="1",("Uno" &amp;" ("&amp;TEXT(DATOS!E120,"dd")&amp;") del mes de "&amp;TEXT(DATOS!E120,"mmmm")&amp;" de "&amp;TEXT(DATOS!E120,"yyyy")&amp;", se reunieron "&amp;DATOS!M28&amp;"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referencia."),LETRAS(TEXT(DATOS!E120,"d"))&amp;" ("&amp;TEXT(DATOS!E120,"dd")&amp;") del mes de "&amp;TEXT(DATOS!E120,"mmmm")&amp;" de "&amp;TEXT(DATOS!E120,"yyyy")&amp;", se reunieron "&amp;DATOS!M28&amp;"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referencia."),"En Popayán el día "&amp;IF((TEXT(DATOS!E120,"d"))="1",("Uno" &amp;" ("&amp;TEXT(DATOS!E120,"dd")&amp;") del mes de "&amp;TEXT(DATOS!E120,"mmmm")&amp;" de "&amp;TEXT(DATOS!E120,"yyyy")&amp;", se reunieron "&amp;K9&amp;" "&amp;DATOS!E24&amp;" "&amp;C9&amp;", en calidad de "&amp;A9&amp;" del "&amp;DATOS!E10&amp;" No. "&amp;DATOS!E12&amp;" "&amp;DATOS!G12&amp;" "&amp;DATOS!I12&amp;", por una parte, y por la otra "&amp;K12&amp;" "&amp;DATOS!E16&amp;" "&amp;C12&amp;" en calidad de "&amp;A12&amp;", para acordar la suspensión del contrato en referencia."),LETRAS(TEXT(DATOS!E120,"d"))&amp;" ("&amp;TEXT(DATOS!E120,"dd")&amp;") del mes de "&amp;TEXT(DATOS!E120,"mmmm")&amp;" de "&amp;TEXT(DATOS!E120,"yyyy")&amp;", se reunieron "&amp;K9&amp;" "&amp;DATOS!E24&amp;" "&amp;C9&amp;", en calidad de "&amp;A9&amp;" del "&amp;DATOS!E10&amp;" No. "&amp;DATOS!E12&amp;" "&amp;DATOS!G12&amp;" "&amp;DATOS!I12&amp;", por una parte, y por la otra "&amp;K12&amp;" "&amp;DATOS!E16&amp;" "&amp;C12&amp;" en calidad de "&amp;A12&amp;", para acordar la suspensión del contrato en referencia.")))</f>
        <v>En Popayán el día Cero (00) del mes de January de 1900, se reunieron la  0, en calidad de SUPERVISOR del  No.   , por una parte, y por la otra la  0 en calidad de CONTRATISTA, para acordar la suspensión del contrato en referencia.</v>
      </c>
      <c r="B24" s="961"/>
      <c r="C24" s="961"/>
      <c r="D24" s="961"/>
      <c r="E24" s="961"/>
      <c r="F24" s="961"/>
      <c r="G24" s="961"/>
      <c r="H24" s="961"/>
      <c r="I24" s="961"/>
      <c r="J24" s="50"/>
    </row>
    <row r="25" spans="1:10" ht="15.75">
      <c r="A25" s="1165" t="s">
        <v>283</v>
      </c>
      <c r="B25" s="1165"/>
      <c r="C25" s="1165"/>
      <c r="D25" s="1165"/>
      <c r="E25" s="1165"/>
      <c r="F25" s="1165"/>
      <c r="G25" s="1165"/>
      <c r="H25" s="1165"/>
      <c r="I25" s="1165"/>
      <c r="J25" s="50"/>
    </row>
    <row r="26" spans="1:10" ht="15">
      <c r="A26" s="137"/>
      <c r="B26" s="137"/>
      <c r="C26" s="137"/>
      <c r="D26" s="137"/>
      <c r="E26" s="137"/>
      <c r="F26" s="137"/>
      <c r="G26" s="137"/>
      <c r="H26" s="137"/>
      <c r="I26" s="137"/>
      <c r="J26" s="50"/>
    </row>
    <row r="27" spans="1:10" ht="72" customHeight="1">
      <c r="A27" s="961" t="str">
        <f>"PRIMERO. - De común acuerdo suspender temporalmente el "&amp;DATOS!E10&amp;" No. "&amp;DATOS!E12&amp;" "&amp;DATOS!G12&amp;" "&amp;DATOS!I12&amp;", cuyo objeto es "&amp;DATOS!E38&amp;", teniendo en cuenta las siguientes consideraciones que han impedido la ejecución del mencionado contrato:"</f>
        <v>PRIMERO. - De común acuerdo suspender temporalmente el  No.   , cuyo objeto es , teniendo en cuenta las siguientes consideraciones que han impedido la ejecución del mencionado contrato:</v>
      </c>
      <c r="B27" s="961"/>
      <c r="C27" s="961"/>
      <c r="D27" s="961"/>
      <c r="E27" s="961"/>
      <c r="F27" s="961"/>
      <c r="G27" s="961"/>
      <c r="H27" s="961"/>
      <c r="I27" s="961"/>
      <c r="J27" s="50"/>
    </row>
    <row r="28" spans="1:10" ht="15">
      <c r="A28" s="1166" t="s">
        <v>335</v>
      </c>
      <c r="B28" s="961"/>
      <c r="C28" s="961"/>
      <c r="D28" s="961"/>
      <c r="E28" s="961"/>
      <c r="F28" s="961"/>
      <c r="G28" s="961"/>
      <c r="H28" s="961"/>
      <c r="I28" s="961"/>
      <c r="J28" s="50"/>
    </row>
    <row r="29" spans="1:10" ht="16.149999999999999" customHeight="1">
      <c r="A29" s="137"/>
      <c r="B29" s="137"/>
      <c r="C29" s="137"/>
      <c r="D29" s="137"/>
      <c r="E29" s="137"/>
      <c r="F29" s="137"/>
      <c r="G29" s="137"/>
      <c r="H29" s="137"/>
      <c r="I29" s="137"/>
      <c r="J29" s="50"/>
    </row>
    <row r="30" spans="1:10" ht="97.9" customHeight="1">
      <c r="A30" s="961" t="s">
        <v>284</v>
      </c>
      <c r="B30" s="961"/>
      <c r="C30" s="961"/>
      <c r="D30" s="961"/>
      <c r="E30" s="961"/>
      <c r="F30" s="961"/>
      <c r="G30" s="961"/>
      <c r="H30" s="961"/>
      <c r="I30" s="961"/>
      <c r="J30" s="50"/>
    </row>
    <row r="31" spans="1:10" ht="15">
      <c r="A31" s="53"/>
      <c r="B31" s="53"/>
      <c r="C31" s="53"/>
      <c r="D31" s="53"/>
      <c r="E31" s="53"/>
      <c r="F31" s="53"/>
      <c r="G31" s="53"/>
      <c r="H31" s="53"/>
      <c r="I31" s="53"/>
    </row>
    <row r="32" spans="1:10" ht="31.9" customHeight="1">
      <c r="A32" s="964" t="str">
        <f>"Para constancia de lo anterior, se firma en Popayán (Cauca) el día "&amp;IF((TEXT(DATOS!E120,"d"))="1",("Uno"&amp;" ("&amp;TEXT(DATOS!E120,"dd")&amp;") del mes de "&amp;TEXT(DATOS!E120,"mmmm")&amp;" de "&amp;LETRAS(TEXT(DATOS!E120,"YYYY"))&amp;" ("&amp;TEXT(DATOS!E120,"yyyy"))&amp;").",LETRAS(TEXT(DATOS!E120,"d"))&amp;" ("&amp;TEXT(DATOS!E120,"dd")&amp;") del mes de "&amp;TEXT(DATOS!E120,"mmmm")&amp;" de "&amp;LETRAS(TEXT(DATOS!E120,"YYYY"))&amp;" ("&amp;TEXT(DATOS!E120,"yyyy")&amp;").")</f>
        <v>Para constancia de lo anterior, se firma en Popayán (Cauca) el día Cero (00) del mes de January de Mil Novecientos (1900).</v>
      </c>
      <c r="B32" s="964"/>
      <c r="C32" s="964"/>
      <c r="D32" s="964"/>
      <c r="E32" s="964"/>
      <c r="F32" s="964"/>
      <c r="G32" s="964"/>
      <c r="H32" s="964"/>
      <c r="I32" s="964"/>
    </row>
    <row r="33" spans="1:10" ht="15">
      <c r="A33" s="961"/>
      <c r="B33" s="961"/>
      <c r="C33" s="961"/>
      <c r="D33" s="961"/>
      <c r="E33" s="961"/>
      <c r="F33" s="961"/>
      <c r="G33" s="961"/>
      <c r="H33" s="961"/>
      <c r="I33" s="961"/>
      <c r="J33" s="50"/>
    </row>
    <row r="34" spans="1:10" ht="15">
      <c r="A34" s="53"/>
      <c r="B34" s="53"/>
      <c r="C34" s="53"/>
      <c r="D34" s="53"/>
      <c r="E34" s="53"/>
      <c r="F34" s="53"/>
      <c r="G34" s="53"/>
      <c r="H34" s="53"/>
      <c r="I34" s="53"/>
    </row>
    <row r="35" spans="1:10" ht="15">
      <c r="A35" s="53"/>
      <c r="B35" s="53"/>
      <c r="C35" s="53"/>
      <c r="D35" s="53"/>
      <c r="E35" s="53"/>
      <c r="F35" s="53"/>
      <c r="G35" s="53"/>
      <c r="H35" s="53"/>
      <c r="I35" s="53"/>
    </row>
    <row r="36" spans="1:10" ht="15">
      <c r="A36" s="53"/>
      <c r="B36" s="53"/>
      <c r="C36" s="53"/>
      <c r="D36" s="53"/>
      <c r="E36" s="53"/>
      <c r="F36" s="53"/>
      <c r="G36" s="53"/>
      <c r="H36" s="53"/>
      <c r="I36" s="53"/>
    </row>
    <row r="37" spans="1:10" ht="15">
      <c r="A37" s="53"/>
      <c r="B37" s="53"/>
      <c r="C37" s="53"/>
      <c r="D37" s="53"/>
      <c r="E37" s="53"/>
      <c r="F37" s="53"/>
      <c r="G37" s="53"/>
      <c r="H37" s="53"/>
      <c r="I37" s="53"/>
    </row>
    <row r="38" spans="1:10" ht="15.75">
      <c r="A38" s="53"/>
      <c r="B38" s="54">
        <f>IF(DATOS!E16="Persona Jurídica",DATOS!G20,DATOS!G16)</f>
        <v>0</v>
      </c>
      <c r="C38" s="53"/>
      <c r="D38" s="53"/>
      <c r="E38" s="53"/>
      <c r="F38" s="54">
        <f>IF(DATOS!E10="CONTRATO DE OBRA",IF(DATOS!E24="Persona Jurídica",DATOS!G28,DATOS!G24),DATOS!G30)</f>
        <v>0</v>
      </c>
      <c r="G38" s="53"/>
      <c r="H38" s="53"/>
      <c r="I38" s="53"/>
    </row>
    <row r="39" spans="1:10" ht="15">
      <c r="A39" s="53"/>
      <c r="B39" s="55" t="str">
        <f>IF(DATOS!E16="Persona Jurídica",DATOS!G16,"Contratista")</f>
        <v>Contratista</v>
      </c>
      <c r="C39" s="53"/>
      <c r="D39" s="53"/>
      <c r="E39" s="53"/>
      <c r="F39" s="55" t="str">
        <f>IF(DATOS!E24="Persona Jurídica",DATOS!G24,"Interventor")</f>
        <v>Interventor</v>
      </c>
      <c r="G39" s="53"/>
      <c r="H39" s="53"/>
      <c r="I39" s="53"/>
    </row>
    <row r="40" spans="1:10" ht="15">
      <c r="A40" s="53"/>
      <c r="B40" s="55" t="str">
        <f>IF(DATOS!E16="Persona jurídica","Contratista"," ")</f>
        <v xml:space="preserve"> </v>
      </c>
      <c r="C40" s="53"/>
      <c r="D40" s="53"/>
      <c r="E40" s="53"/>
      <c r="F40" s="55" t="str">
        <f>IF(DATOS!E24="Persona jurídica","Interventor"," ")</f>
        <v xml:space="preserve"> </v>
      </c>
      <c r="G40" s="53"/>
      <c r="H40" s="53"/>
      <c r="I40" s="53"/>
    </row>
    <row r="41" spans="1:10" ht="15">
      <c r="A41" s="53"/>
      <c r="B41" s="55"/>
      <c r="C41" s="53"/>
      <c r="D41" s="53"/>
      <c r="E41" s="53"/>
      <c r="F41" s="55"/>
      <c r="G41" s="53"/>
      <c r="H41" s="53"/>
      <c r="I41" s="53"/>
    </row>
    <row r="42" spans="1:10" ht="15">
      <c r="A42" s="53"/>
      <c r="B42" s="55"/>
      <c r="C42" s="53"/>
      <c r="D42" s="53"/>
      <c r="E42" s="53"/>
      <c r="F42" s="55"/>
      <c r="G42" s="53"/>
      <c r="H42" s="53"/>
      <c r="I42" s="53"/>
    </row>
    <row r="43" spans="1:10" ht="15">
      <c r="A43" s="53"/>
      <c r="B43" s="55"/>
      <c r="C43" s="53"/>
      <c r="D43" s="53"/>
      <c r="E43" s="53"/>
      <c r="F43" s="55"/>
      <c r="G43" s="53"/>
      <c r="H43" s="53"/>
      <c r="I43" s="53"/>
    </row>
    <row r="44" spans="1:10" ht="15">
      <c r="A44" s="53"/>
      <c r="B44" s="55"/>
      <c r="C44" s="53"/>
      <c r="D44" s="53"/>
      <c r="E44" s="53"/>
      <c r="F44" s="55"/>
      <c r="G44" s="53"/>
      <c r="H44" s="53"/>
      <c r="I44" s="53"/>
    </row>
    <row r="45" spans="1:10" ht="15">
      <c r="A45" s="53"/>
      <c r="B45" s="55"/>
      <c r="C45" s="53"/>
      <c r="D45" s="53"/>
      <c r="E45" s="53"/>
      <c r="F45" s="55"/>
      <c r="G45" s="53"/>
      <c r="H45" s="53"/>
      <c r="I45" s="53"/>
    </row>
    <row r="46" spans="1:10" ht="15.75">
      <c r="A46" s="1273">
        <f>DATOS!G30</f>
        <v>0</v>
      </c>
      <c r="B46" s="1273"/>
      <c r="C46" s="1273"/>
      <c r="D46" s="1273"/>
      <c r="E46" s="1273"/>
      <c r="F46" s="1273"/>
      <c r="G46" s="1273"/>
      <c r="H46" s="1273"/>
      <c r="I46" s="1273"/>
    </row>
    <row r="47" spans="1:10" ht="15.6" customHeight="1">
      <c r="A47" s="1272" t="s">
        <v>285</v>
      </c>
      <c r="B47" s="1272"/>
      <c r="C47" s="1272"/>
      <c r="D47" s="1272"/>
      <c r="E47" s="1272"/>
      <c r="F47" s="1272"/>
      <c r="G47" s="1272"/>
      <c r="H47" s="1272"/>
      <c r="I47" s="1272"/>
    </row>
    <row r="48" spans="1:10" ht="15">
      <c r="A48" s="53"/>
      <c r="B48" s="55"/>
      <c r="C48" s="53"/>
      <c r="D48" s="53"/>
      <c r="E48" s="53"/>
      <c r="F48" s="55"/>
      <c r="G48" s="53"/>
      <c r="H48" s="53"/>
      <c r="I48" s="53"/>
    </row>
    <row r="49" spans="1:10" ht="15">
      <c r="A49" s="53"/>
      <c r="B49" s="53"/>
      <c r="C49" s="53"/>
      <c r="D49" s="53"/>
      <c r="E49" s="53"/>
      <c r="F49" s="53"/>
      <c r="G49" s="53"/>
      <c r="H49" s="53"/>
      <c r="I49" s="53"/>
      <c r="J49" s="50"/>
    </row>
  </sheetData>
  <mergeCells count="54">
    <mergeCell ref="A46:I46"/>
    <mergeCell ref="A47:I47"/>
    <mergeCell ref="A24:I24"/>
    <mergeCell ref="A25:I25"/>
    <mergeCell ref="A27:I27"/>
    <mergeCell ref="A30:I30"/>
    <mergeCell ref="A32:I32"/>
    <mergeCell ref="A33:I33"/>
    <mergeCell ref="A28:I28"/>
    <mergeCell ref="A20:B20"/>
    <mergeCell ref="C20:I20"/>
    <mergeCell ref="A21:B21"/>
    <mergeCell ref="C21:I21"/>
    <mergeCell ref="A22:B22"/>
    <mergeCell ref="C22:I22"/>
    <mergeCell ref="A17:B17"/>
    <mergeCell ref="C17:I17"/>
    <mergeCell ref="A18:B18"/>
    <mergeCell ref="C18:I18"/>
    <mergeCell ref="A19:B19"/>
    <mergeCell ref="C19:I19"/>
    <mergeCell ref="A14:B14"/>
    <mergeCell ref="C14:I14"/>
    <mergeCell ref="A15:B15"/>
    <mergeCell ref="C15:I15"/>
    <mergeCell ref="A16:B16"/>
    <mergeCell ref="C16:I16"/>
    <mergeCell ref="A11:B11"/>
    <mergeCell ref="C11:I11"/>
    <mergeCell ref="A12:B12"/>
    <mergeCell ref="C12:I12"/>
    <mergeCell ref="A13:B13"/>
    <mergeCell ref="C13:I13"/>
    <mergeCell ref="A8:B8"/>
    <mergeCell ref="C8:I8"/>
    <mergeCell ref="A9:B9"/>
    <mergeCell ref="C9:I9"/>
    <mergeCell ref="A10:B10"/>
    <mergeCell ref="C10:I10"/>
    <mergeCell ref="A4:I4"/>
    <mergeCell ref="A6:B6"/>
    <mergeCell ref="E6:F6"/>
    <mergeCell ref="G6:H6"/>
    <mergeCell ref="A7:B7"/>
    <mergeCell ref="C7:I7"/>
    <mergeCell ref="A1:A3"/>
    <mergeCell ref="B1:E2"/>
    <mergeCell ref="F1:G1"/>
    <mergeCell ref="H1:I1"/>
    <mergeCell ref="F2:G2"/>
    <mergeCell ref="H2:I2"/>
    <mergeCell ref="B3:E3"/>
    <mergeCell ref="F3:G3"/>
    <mergeCell ref="H3:I3"/>
  </mergeCells>
  <conditionalFormatting sqref="C17:I17">
    <cfRule type="expression" dxfId="9" priority="5">
      <formula>$C$17&lt;=0</formula>
    </cfRule>
  </conditionalFormatting>
  <conditionalFormatting sqref="C18:I18">
    <cfRule type="expression" dxfId="8" priority="4">
      <formula>$C$18&lt;=0</formula>
    </cfRule>
  </conditionalFormatting>
  <conditionalFormatting sqref="C20:I20">
    <cfRule type="expression" dxfId="7" priority="3">
      <formula>$C$20&lt;=0</formula>
    </cfRule>
  </conditionalFormatting>
  <conditionalFormatting sqref="C22:I22">
    <cfRule type="expression" dxfId="6" priority="2">
      <formula>$C$22&lt;=0</formula>
    </cfRule>
  </conditionalFormatting>
  <conditionalFormatting sqref="C21:I21">
    <cfRule type="expression" dxfId="5" priority="1">
      <formula>$C$21&lt;=0</formula>
    </cfRule>
  </conditionalFormatting>
  <printOptions horizontalCentered="1"/>
  <pageMargins left="0.78740157480314965" right="0.39370078740157483" top="0.59055118110236227" bottom="1.2598425196850394" header="0.31496062992125984" footer="0.11811023622047245"/>
  <pageSetup scale="82" orientation="portrait" r:id="rId1"/>
  <headerFooter>
    <oddFooter>&amp;L&amp;G&amp;R&amp;"-,Cursiva"&amp;9Página &amp;P de &amp;N&amp;"-,Normal"&amp;11
&amp;G</oddFooter>
  </headerFooter>
  <drawing r:id="rId2"/>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K49"/>
  <sheetViews>
    <sheetView zoomScaleNormal="100" zoomScaleSheetLayoutView="90" workbookViewId="0">
      <selection activeCell="Q14" sqref="Q14"/>
    </sheetView>
  </sheetViews>
  <sheetFormatPr baseColWidth="10" defaultColWidth="11.5703125" defaultRowHeight="14.25"/>
  <cols>
    <col min="1" max="1" width="22.85546875" style="42" customWidth="1"/>
    <col min="2" max="2" width="8.7109375" style="42" customWidth="1"/>
    <col min="3" max="3" width="37.42578125" style="42" customWidth="1"/>
    <col min="4" max="4" width="7.28515625" style="42" customWidth="1"/>
    <col min="5" max="5" width="2.28515625" style="42" customWidth="1"/>
    <col min="6" max="6" width="8.5703125" style="42" customWidth="1"/>
    <col min="7" max="7" width="6.28515625" style="42" customWidth="1"/>
    <col min="8" max="8" width="4.28515625" style="42" customWidth="1"/>
    <col min="9" max="9" width="11.7109375" style="42" customWidth="1"/>
    <col min="10" max="10" width="11.5703125" style="42" customWidth="1"/>
    <col min="11" max="16384" width="11.5703125" style="42"/>
  </cols>
  <sheetData>
    <row r="1" spans="1:11" ht="24.6" customHeight="1">
      <c r="A1" s="972"/>
      <c r="B1" s="973" t="s">
        <v>276</v>
      </c>
      <c r="C1" s="973"/>
      <c r="D1" s="973"/>
      <c r="E1" s="973"/>
      <c r="F1" s="975" t="s">
        <v>90</v>
      </c>
      <c r="G1" s="975"/>
      <c r="H1" s="970" t="s">
        <v>1128</v>
      </c>
      <c r="I1" s="970"/>
      <c r="J1" s="41"/>
    </row>
    <row r="2" spans="1:11" ht="24.6" customHeight="1">
      <c r="A2" s="972"/>
      <c r="B2" s="973"/>
      <c r="C2" s="973"/>
      <c r="D2" s="973"/>
      <c r="E2" s="973"/>
      <c r="F2" s="975" t="s">
        <v>89</v>
      </c>
      <c r="G2" s="975"/>
      <c r="H2" s="970">
        <v>1</v>
      </c>
      <c r="I2" s="970"/>
      <c r="J2" s="41"/>
    </row>
    <row r="3" spans="1:11" ht="24.6" customHeight="1">
      <c r="A3" s="972"/>
      <c r="B3" s="970" t="s">
        <v>93</v>
      </c>
      <c r="C3" s="970"/>
      <c r="D3" s="970"/>
      <c r="E3" s="970"/>
      <c r="F3" s="1160" t="s">
        <v>88</v>
      </c>
      <c r="G3" s="1161"/>
      <c r="H3" s="971">
        <v>42705</v>
      </c>
      <c r="I3" s="970"/>
      <c r="J3" s="41"/>
    </row>
    <row r="4" spans="1:11" ht="34.9" customHeight="1">
      <c r="A4" s="1019" t="s">
        <v>294</v>
      </c>
      <c r="B4" s="1162"/>
      <c r="C4" s="1162"/>
      <c r="D4" s="1162"/>
      <c r="E4" s="1162"/>
      <c r="F4" s="1162"/>
      <c r="G4" s="1162"/>
      <c r="H4" s="1162"/>
      <c r="I4" s="1162"/>
      <c r="J4" s="41"/>
    </row>
    <row r="5" spans="1:11" ht="3" customHeight="1">
      <c r="A5" s="135"/>
      <c r="B5" s="138"/>
      <c r="C5" s="138"/>
      <c r="D5" s="138"/>
      <c r="E5" s="138"/>
      <c r="F5" s="138"/>
      <c r="G5" s="138"/>
      <c r="H5" s="138"/>
      <c r="I5" s="138"/>
      <c r="J5" s="41"/>
    </row>
    <row r="6" spans="1:11" ht="19.149999999999999" customHeight="1">
      <c r="A6" s="962" t="s">
        <v>1</v>
      </c>
      <c r="B6" s="962"/>
      <c r="C6" s="51">
        <f>DATOS!$E$10</f>
        <v>0</v>
      </c>
      <c r="D6" s="181" t="s">
        <v>92</v>
      </c>
      <c r="E6" s="974">
        <f>DATOS!E12</f>
        <v>0</v>
      </c>
      <c r="F6" s="974"/>
      <c r="G6" s="962" t="s">
        <v>86</v>
      </c>
      <c r="H6" s="962"/>
      <c r="I6" s="136">
        <f>DATOS!I12</f>
        <v>0</v>
      </c>
      <c r="J6" s="41"/>
    </row>
    <row r="7" spans="1:11" ht="19.149999999999999" customHeight="1">
      <c r="A7" s="962" t="s">
        <v>94</v>
      </c>
      <c r="B7" s="962"/>
      <c r="C7" s="963" t="s">
        <v>101</v>
      </c>
      <c r="D7" s="963"/>
      <c r="E7" s="963"/>
      <c r="F7" s="963"/>
      <c r="G7" s="963"/>
      <c r="H7" s="963"/>
      <c r="I7" s="963"/>
      <c r="J7" s="41"/>
    </row>
    <row r="8" spans="1:11" ht="19.149999999999999" customHeight="1">
      <c r="A8" s="962" t="s">
        <v>95</v>
      </c>
      <c r="B8" s="962"/>
      <c r="C8" s="963" t="s">
        <v>102</v>
      </c>
      <c r="D8" s="963"/>
      <c r="E8" s="963"/>
      <c r="F8" s="963"/>
      <c r="G8" s="963"/>
      <c r="H8" s="963"/>
      <c r="I8" s="963"/>
      <c r="J8" s="41"/>
    </row>
    <row r="9" spans="1:11" ht="19.149999999999999" customHeight="1">
      <c r="A9" s="962" t="str">
        <f>IF('SUSP 10'!C6="CONTRATO DE OBRA",("INTERVENTOR"),("SUPERVISOR"))</f>
        <v>SUPERVISOR</v>
      </c>
      <c r="B9" s="962"/>
      <c r="C9" s="963">
        <f>LOOKUP(A9,DATOS!C24:C30,DATOS!G24:G30)</f>
        <v>0</v>
      </c>
      <c r="D9" s="963"/>
      <c r="E9" s="963"/>
      <c r="F9" s="963"/>
      <c r="G9" s="963"/>
      <c r="H9" s="963"/>
      <c r="I9" s="963"/>
      <c r="K9" s="42" t="str">
        <f>LOOKUP(A9,DATOS!C24:C30,DATOS!M24:M30)</f>
        <v>la</v>
      </c>
    </row>
    <row r="10" spans="1:11" ht="19.149999999999999" customHeight="1">
      <c r="A10" s="962" t="s">
        <v>95</v>
      </c>
      <c r="B10" s="962"/>
      <c r="C10" s="963">
        <f>IF(A9=DATOS!C24,DATOS!E26,DATOS!E32)</f>
        <v>0</v>
      </c>
      <c r="D10" s="963"/>
      <c r="E10" s="963"/>
      <c r="F10" s="963"/>
      <c r="G10" s="963"/>
      <c r="H10" s="963"/>
      <c r="I10" s="963"/>
    </row>
    <row r="11" spans="1:11" ht="19.149999999999999" customHeight="1">
      <c r="A11" s="962" t="s">
        <v>5</v>
      </c>
      <c r="B11" s="962"/>
      <c r="C11" s="963" t="str">
        <f>IF(DATOS!G28&gt;0,DATOS!G28,"N/A")</f>
        <v>N/A</v>
      </c>
      <c r="D11" s="963"/>
      <c r="E11" s="963"/>
      <c r="F11" s="963"/>
      <c r="G11" s="963"/>
      <c r="H11" s="963"/>
      <c r="I11" s="963"/>
    </row>
    <row r="12" spans="1:11" ht="19.149999999999999" customHeight="1">
      <c r="A12" s="962" t="s">
        <v>107</v>
      </c>
      <c r="B12" s="962"/>
      <c r="C12" s="963">
        <f>DATOS!G16</f>
        <v>0</v>
      </c>
      <c r="D12" s="963"/>
      <c r="E12" s="963"/>
      <c r="F12" s="963"/>
      <c r="G12" s="963"/>
      <c r="H12" s="963"/>
      <c r="I12" s="963"/>
      <c r="K12" s="42" t="str">
        <f>DATOS!M16</f>
        <v>la</v>
      </c>
    </row>
    <row r="13" spans="1:11" ht="19.149999999999999" customHeight="1">
      <c r="A13" s="962" t="s">
        <v>95</v>
      </c>
      <c r="B13" s="962"/>
      <c r="C13" s="1163">
        <f>DATOS!E18</f>
        <v>0</v>
      </c>
      <c r="D13" s="963"/>
      <c r="E13" s="963"/>
      <c r="F13" s="963"/>
      <c r="G13" s="963"/>
      <c r="H13" s="963"/>
      <c r="I13" s="963"/>
    </row>
    <row r="14" spans="1:11" ht="19.149999999999999" customHeight="1">
      <c r="A14" s="962" t="s">
        <v>5</v>
      </c>
      <c r="B14" s="962"/>
      <c r="C14" s="963" t="str">
        <f>IF(DATOS!G20&gt;0,DATOS!G20,"N/A")</f>
        <v>N/A</v>
      </c>
      <c r="D14" s="963"/>
      <c r="E14" s="963"/>
      <c r="F14" s="963"/>
      <c r="G14" s="963"/>
      <c r="H14" s="963"/>
      <c r="I14" s="963"/>
      <c r="K14" s="42" t="str">
        <f>DATOS!M20</f>
        <v>la</v>
      </c>
    </row>
    <row r="15" spans="1:11" ht="66.599999999999994" customHeight="1">
      <c r="A15" s="962" t="s">
        <v>8</v>
      </c>
      <c r="B15" s="962"/>
      <c r="C15" s="968">
        <f>DATOS!E38</f>
        <v>0</v>
      </c>
      <c r="D15" s="968"/>
      <c r="E15" s="968"/>
      <c r="F15" s="968"/>
      <c r="G15" s="968"/>
      <c r="H15" s="968"/>
      <c r="I15" s="968"/>
    </row>
    <row r="16" spans="1:11" ht="19.149999999999999" customHeight="1">
      <c r="A16" s="962" t="s">
        <v>12</v>
      </c>
      <c r="B16" s="962"/>
      <c r="C16" s="969">
        <f>DATOS!E46</f>
        <v>0</v>
      </c>
      <c r="D16" s="969"/>
      <c r="E16" s="969"/>
      <c r="F16" s="969"/>
      <c r="G16" s="969"/>
      <c r="H16" s="969"/>
      <c r="I16" s="969"/>
    </row>
    <row r="17" spans="1:10" ht="19.149999999999999" customHeight="1">
      <c r="A17" s="962" t="s">
        <v>278</v>
      </c>
      <c r="B17" s="962"/>
      <c r="C17" s="969">
        <f>DATOS!E60</f>
        <v>30000000</v>
      </c>
      <c r="D17" s="969"/>
      <c r="E17" s="969"/>
      <c r="F17" s="969"/>
      <c r="G17" s="969"/>
      <c r="H17" s="969"/>
      <c r="I17" s="969"/>
    </row>
    <row r="18" spans="1:10" ht="19.149999999999999" customHeight="1">
      <c r="A18" s="962" t="s">
        <v>279</v>
      </c>
      <c r="B18" s="962"/>
      <c r="C18" s="969">
        <f>DATOS!E62</f>
        <v>0</v>
      </c>
      <c r="D18" s="969"/>
      <c r="E18" s="969"/>
      <c r="F18" s="969"/>
      <c r="G18" s="969"/>
      <c r="H18" s="969"/>
      <c r="I18" s="969"/>
    </row>
    <row r="19" spans="1:10" ht="19.149999999999999" customHeight="1">
      <c r="A19" s="962" t="s">
        <v>11</v>
      </c>
      <c r="B19" s="962"/>
      <c r="C19" s="963" t="str">
        <f>CONCATENATE(DATOS!E44,DATOS!F44,DATOS!G44)</f>
        <v xml:space="preserve"> </v>
      </c>
      <c r="D19" s="963"/>
      <c r="E19" s="963"/>
      <c r="F19" s="963"/>
      <c r="G19" s="963"/>
      <c r="H19" s="963"/>
      <c r="I19" s="963"/>
    </row>
    <row r="20" spans="1:10" ht="19.149999999999999" customHeight="1">
      <c r="A20" s="962" t="s">
        <v>280</v>
      </c>
      <c r="B20" s="962"/>
      <c r="C20" s="963" t="str">
        <f>IF(DATOS!E64&gt;0,CONCATENATE(DATOS!E64,DATOS!F64,DATOS!G64),0)</f>
        <v>5 MESES</v>
      </c>
      <c r="D20" s="963"/>
      <c r="E20" s="963"/>
      <c r="F20" s="963"/>
      <c r="G20" s="963"/>
      <c r="H20" s="963"/>
      <c r="I20" s="963"/>
    </row>
    <row r="21" spans="1:10" ht="19.149999999999999" customHeight="1">
      <c r="A21" s="962" t="s">
        <v>281</v>
      </c>
      <c r="B21" s="962"/>
      <c r="C21" s="963">
        <f>IF(DATOS!E66&gt;0,CONCATENATE(DATOS!E66,DATOS!F66,DATOS!G66),0)</f>
        <v>0</v>
      </c>
      <c r="D21" s="963"/>
      <c r="E21" s="963"/>
      <c r="F21" s="963"/>
      <c r="G21" s="963"/>
      <c r="H21" s="963"/>
      <c r="I21" s="963"/>
    </row>
    <row r="22" spans="1:10" ht="19.149999999999999" customHeight="1">
      <c r="A22" s="962" t="s">
        <v>282</v>
      </c>
      <c r="B22" s="962"/>
      <c r="C22" s="963">
        <f>IF(DATOS!E68&gt;0,CONCATENATE(DATOS!E68,DATOS!F68,DATOS!G68),0)</f>
        <v>0</v>
      </c>
      <c r="D22" s="963"/>
      <c r="E22" s="963"/>
      <c r="F22" s="963"/>
      <c r="G22" s="963"/>
      <c r="H22" s="963"/>
      <c r="I22" s="963"/>
    </row>
    <row r="23" spans="1:10" ht="27.6" customHeight="1">
      <c r="A23" s="53"/>
      <c r="B23" s="53"/>
      <c r="C23" s="53"/>
      <c r="D23" s="53"/>
      <c r="E23" s="53"/>
      <c r="F23" s="53"/>
      <c r="G23" s="53"/>
      <c r="H23" s="53"/>
      <c r="I23" s="53"/>
    </row>
    <row r="24" spans="1:10" ht="96" customHeight="1">
      <c r="A24" s="961" t="str">
        <f>IF(DATOS!E16="Persona Jurídica",IF(DATOS!E24="Persona Jurídica","En Popayán el día "&amp;IF((TEXT(DATOS!E126,"d"))="1",("Uno" &amp;" ("&amp;TEXT(DATOS!E126,"dd")&amp;") del mes de "&amp;TEXT(DATOS!E126,"mmmm")&amp;" de "&amp;TEXT(DATOS!E126,"yyyy")&amp;", se reunieron "&amp;DATOS!M28&amp;"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referencia."),LETRAS(TEXT(DATOS!E126,"d"))&amp;" ("&amp;TEXT(DATOS!E126,"dd")&amp;") del mes de "&amp;TEXT(DATOS!E126,"mmmm")&amp;" de "&amp;TEXT(DATOS!E126,"yyyy")&amp;", se reunieron "&amp;DATOS!M28&amp;" "&amp;DATOS!E28&amp;" "&amp;DATOS!G28&amp;" Representante legal de "&amp;C9&amp;" en calidad de "&amp;A9&amp;" del "&amp;DATOS!E10&amp;" No. "&amp;DATOS!E12&amp;" "&amp;DATOS!G12&amp;" "&amp;DATOS!I12&amp;", por una parte, y por la otra "&amp;K14&amp;" "&amp;DATOS!E20&amp;" "&amp;C14&amp;" Representante legal de "&amp;C12&amp;" en calidad de "&amp;A12&amp;",  para acordar la suspensión del contrato en referencia."),"En Popayán el día "&amp;IF((TEXT(DATOS!E126,"d"))="1",("Uno" &amp;" ("&amp;TEXT(DATOS!E126,"dd")&amp;") del mes de "&amp;TEXT(DATOS!E126,"mmmm")&amp;" de "&amp;TEXT(DATOS!E126,"yyyy")&amp;", se reunieron "&amp;K9&amp;"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referencia."),LETRAS(TEXT(DATOS!E126,"d"))&amp;" ("&amp;TEXT(DATOS!E126,"dd")&amp;") del mes de "&amp;TEXT(DATOS!E126,"mmmm")&amp;" de "&amp;TEXT(DATOS!E126,"yyyy")&amp;", se reunieron "&amp;K9&amp;" "&amp;DATOS!E24&amp;" "&amp;C9&amp;", en calidad de "&amp;A9&amp;" del "&amp;DATOS!E10&amp;" No. "&amp;DATOS!E12&amp;" "&amp;DATOS!G12&amp;" "&amp;DATOS!I12&amp;", por una parte, y por la otra "&amp;K14&amp;" "&amp;DATOS!E20&amp;" "&amp;C14&amp;" Representante legal de "&amp;C12&amp;" en calidad de "&amp;A12&amp;", para acordar la suspensión del contrato en referencia.")),IF(DATOS!E24="Persona Jurídica","En Popayán el día "&amp;IF((TEXT(DATOS!E126,"d"))="1",("Uno" &amp;" ("&amp;TEXT(DATOS!E126,"dd")&amp;") del mes de "&amp;TEXT(DATOS!E126,"mmmm")&amp;" de "&amp;TEXT(DATOS!E126,"yyyy")&amp;", se reunieron "&amp;DATOS!M28&amp;"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referencia."),LETRAS(TEXT(DATOS!E126,"d"))&amp;" ("&amp;TEXT(DATOS!E126,"dd")&amp;") del mes de "&amp;TEXT(DATOS!E126,"mmmm")&amp;" de "&amp;TEXT(DATOS!E126,"yyyy")&amp;", se reunieron "&amp;DATOS!M28&amp;" "&amp;DATOS!E28&amp;" "&amp;DATOS!G28&amp;" Representante legal de "&amp;C9&amp;" en calidad de "&amp;A9&amp;" del "&amp;DATOS!E10&amp;" No. "&amp;DATOS!E12&amp;" "&amp;DATOS!G12&amp;" "&amp;DATOS!I12&amp;", por una parte, y por la otra "&amp;K12&amp;" "&amp;DATOS!E16&amp;" "&amp;C12&amp;" en calidad de "&amp;A12&amp;", para acordar la suspensión del contrato en referencia."),"En Popayán el día "&amp;IF((TEXT(DATOS!E126,"d"))="1",("Uno" &amp;" ("&amp;TEXT(DATOS!E126,"dd")&amp;") del mes de "&amp;TEXT(DATOS!E126,"mmmm")&amp;" de "&amp;TEXT(DATOS!E126,"yyyy")&amp;", se reunieron "&amp;K9&amp;" "&amp;DATOS!E24&amp;" "&amp;C9&amp;", en calidad de "&amp;A9&amp;" del "&amp;DATOS!E10&amp;" No. "&amp;DATOS!E12&amp;" "&amp;DATOS!G12&amp;" "&amp;DATOS!I12&amp;", por una parte, y por la otra "&amp;K12&amp;" "&amp;DATOS!E16&amp;" "&amp;C12&amp;" en calidad de "&amp;A12&amp;", para acordar la suspensión del contrato en referencia."),LETRAS(TEXT(DATOS!E126,"d"))&amp;" ("&amp;TEXT(DATOS!E126,"dd")&amp;") del mes de "&amp;TEXT(DATOS!E126,"mmmm")&amp;" de "&amp;TEXT(DATOS!E126,"yyyy")&amp;", se reunieron "&amp;K9&amp;" "&amp;DATOS!E24&amp;" "&amp;C9&amp;", en calidad de "&amp;A9&amp;" del "&amp;DATOS!E10&amp;" No. "&amp;DATOS!E12&amp;" "&amp;DATOS!G12&amp;" "&amp;DATOS!I12&amp;", por una parte, y por la otra "&amp;K12&amp;" "&amp;DATOS!E16&amp;" "&amp;C12&amp;" en calidad de "&amp;A12&amp;", para acordar la suspensión del contrato en referencia.")))</f>
        <v>En Popayán el día Cero (00) del mes de January de 1900, se reunieron la  0, en calidad de SUPERVISOR del  No.   , por una parte, y por la otra la  0 en calidad de CONTRATISTA, para acordar la suspensión del contrato en referencia.</v>
      </c>
      <c r="B24" s="961"/>
      <c r="C24" s="961"/>
      <c r="D24" s="961"/>
      <c r="E24" s="961"/>
      <c r="F24" s="961"/>
      <c r="G24" s="961"/>
      <c r="H24" s="961"/>
      <c r="I24" s="961"/>
      <c r="J24" s="50"/>
    </row>
    <row r="25" spans="1:10" ht="15.75">
      <c r="A25" s="1165" t="s">
        <v>283</v>
      </c>
      <c r="B25" s="1165"/>
      <c r="C25" s="1165"/>
      <c r="D25" s="1165"/>
      <c r="E25" s="1165"/>
      <c r="F25" s="1165"/>
      <c r="G25" s="1165"/>
      <c r="H25" s="1165"/>
      <c r="I25" s="1165"/>
      <c r="J25" s="50"/>
    </row>
    <row r="26" spans="1:10" ht="15">
      <c r="A26" s="137"/>
      <c r="B26" s="137"/>
      <c r="C26" s="137"/>
      <c r="D26" s="137"/>
      <c r="E26" s="137"/>
      <c r="F26" s="137"/>
      <c r="G26" s="137"/>
      <c r="H26" s="137"/>
      <c r="I26" s="137"/>
      <c r="J26" s="50"/>
    </row>
    <row r="27" spans="1:10" ht="69" customHeight="1">
      <c r="A27" s="961" t="str">
        <f>"PRIMERO. - De común acuerdo suspender temporalmente el "&amp;DATOS!E10&amp;" No. "&amp;DATOS!E12&amp;" "&amp;DATOS!G12&amp;" "&amp;DATOS!I12&amp;", cuyo objeto es "&amp;DATOS!E38&amp;", teniendo en cuenta las siguientes consideraciones que han impedido la ejecución del mencionado contrato:"</f>
        <v>PRIMERO. - De común acuerdo suspender temporalmente el  No.   , cuyo objeto es , teniendo en cuenta las siguientes consideraciones que han impedido la ejecución del mencionado contrato:</v>
      </c>
      <c r="B27" s="961"/>
      <c r="C27" s="961"/>
      <c r="D27" s="961"/>
      <c r="E27" s="961"/>
      <c r="F27" s="961"/>
      <c r="G27" s="961"/>
      <c r="H27" s="961"/>
      <c r="I27" s="961"/>
      <c r="J27" s="50"/>
    </row>
    <row r="28" spans="1:10" ht="15">
      <c r="A28" s="1166" t="s">
        <v>335</v>
      </c>
      <c r="B28" s="961"/>
      <c r="C28" s="961"/>
      <c r="D28" s="961"/>
      <c r="E28" s="961"/>
      <c r="F28" s="961"/>
      <c r="G28" s="961"/>
      <c r="H28" s="961"/>
      <c r="I28" s="961"/>
      <c r="J28" s="50"/>
    </row>
    <row r="29" spans="1:10" ht="19.149999999999999" customHeight="1">
      <c r="A29" s="137"/>
      <c r="B29" s="137"/>
      <c r="C29" s="137"/>
      <c r="D29" s="137"/>
      <c r="E29" s="137"/>
      <c r="F29" s="137"/>
      <c r="G29" s="137"/>
      <c r="H29" s="137"/>
      <c r="I29" s="137"/>
      <c r="J29" s="50"/>
    </row>
    <row r="30" spans="1:10" ht="97.9" customHeight="1">
      <c r="A30" s="961" t="s">
        <v>284</v>
      </c>
      <c r="B30" s="961"/>
      <c r="C30" s="961"/>
      <c r="D30" s="961"/>
      <c r="E30" s="961"/>
      <c r="F30" s="961"/>
      <c r="G30" s="961"/>
      <c r="H30" s="961"/>
      <c r="I30" s="961"/>
      <c r="J30" s="50"/>
    </row>
    <row r="31" spans="1:10" ht="15">
      <c r="A31" s="53"/>
      <c r="B31" s="53"/>
      <c r="C31" s="53"/>
      <c r="D31" s="53"/>
      <c r="E31" s="53"/>
      <c r="F31" s="53"/>
      <c r="G31" s="53"/>
      <c r="H31" s="53"/>
      <c r="I31" s="53"/>
    </row>
    <row r="32" spans="1:10" ht="31.9" customHeight="1">
      <c r="A32" s="964" t="str">
        <f>"Para constancia de lo anterior, se firma en Popayán (Cauca) el día "&amp;IF((TEXT(DATOS!E126,"d"))="1",("Uno"&amp;" ("&amp;TEXT(DATOS!E126,"dd")&amp;") del mes de "&amp;TEXT(DATOS!E126,"mmmm")&amp;" de "&amp;LETRAS(TEXT(DATOS!E126,"YYYY"))&amp;" ("&amp;TEXT(DATOS!E126,"yyyy"))&amp;").",LETRAS(TEXT(DATOS!E126,"d"))&amp;" ("&amp;TEXT(DATOS!E126,"dd")&amp;") del mes de "&amp;TEXT(DATOS!E126,"mmmm")&amp;" de "&amp;LETRAS(TEXT(DATOS!E126,"YYYY"))&amp;" ("&amp;TEXT(DATOS!E126,"yyyy")&amp;").")</f>
        <v>Para constancia de lo anterior, se firma en Popayán (Cauca) el día Cero (00) del mes de January de Mil Novecientos (1900).</v>
      </c>
      <c r="B32" s="964"/>
      <c r="C32" s="964"/>
      <c r="D32" s="964"/>
      <c r="E32" s="964"/>
      <c r="F32" s="964"/>
      <c r="G32" s="964"/>
      <c r="H32" s="964"/>
      <c r="I32" s="964"/>
    </row>
    <row r="33" spans="1:10" ht="15">
      <c r="A33" s="961"/>
      <c r="B33" s="961"/>
      <c r="C33" s="961"/>
      <c r="D33" s="961"/>
      <c r="E33" s="961"/>
      <c r="F33" s="961"/>
      <c r="G33" s="961"/>
      <c r="H33" s="961"/>
      <c r="I33" s="961"/>
      <c r="J33" s="50"/>
    </row>
    <row r="34" spans="1:10" ht="15">
      <c r="A34" s="53"/>
      <c r="B34" s="53"/>
      <c r="C34" s="53"/>
      <c r="D34" s="53"/>
      <c r="E34" s="53"/>
      <c r="F34" s="53"/>
      <c r="G34" s="53"/>
      <c r="H34" s="53"/>
      <c r="I34" s="53"/>
    </row>
    <row r="35" spans="1:10" ht="15">
      <c r="A35" s="53"/>
      <c r="B35" s="53"/>
      <c r="C35" s="53"/>
      <c r="D35" s="53"/>
      <c r="E35" s="53"/>
      <c r="F35" s="53"/>
      <c r="G35" s="53"/>
      <c r="H35" s="53"/>
      <c r="I35" s="53"/>
    </row>
    <row r="36" spans="1:10" ht="15">
      <c r="A36" s="53"/>
      <c r="B36" s="53"/>
      <c r="C36" s="53"/>
      <c r="D36" s="53"/>
      <c r="E36" s="53"/>
      <c r="F36" s="53"/>
      <c r="G36" s="53"/>
      <c r="H36" s="53"/>
      <c r="I36" s="53"/>
    </row>
    <row r="37" spans="1:10" ht="15">
      <c r="A37" s="53"/>
      <c r="B37" s="53"/>
      <c r="C37" s="53"/>
      <c r="D37" s="53"/>
      <c r="E37" s="53"/>
      <c r="F37" s="53"/>
      <c r="G37" s="53"/>
      <c r="H37" s="53"/>
      <c r="I37" s="53"/>
    </row>
    <row r="38" spans="1:10" ht="15.75">
      <c r="A38" s="53"/>
      <c r="B38" s="54">
        <f>IF(DATOS!E16="Persona Jurídica",DATOS!G20,DATOS!G16)</f>
        <v>0</v>
      </c>
      <c r="C38" s="53"/>
      <c r="D38" s="53"/>
      <c r="E38" s="53"/>
      <c r="F38" s="54">
        <f>IF(DATOS!E10="CONTRATO DE OBRA",IF(DATOS!E24="Persona Jurídica",DATOS!G28,DATOS!G24),DATOS!G30)</f>
        <v>0</v>
      </c>
      <c r="G38" s="53"/>
      <c r="H38" s="53"/>
      <c r="I38" s="53"/>
    </row>
    <row r="39" spans="1:10" ht="15">
      <c r="A39" s="53"/>
      <c r="B39" s="55" t="str">
        <f>IF(DATOS!E16="Persona Jurídica",DATOS!G16,"Contratista")</f>
        <v>Contratista</v>
      </c>
      <c r="C39" s="53"/>
      <c r="D39" s="53"/>
      <c r="E39" s="53"/>
      <c r="F39" s="55" t="str">
        <f>IF(DATOS!E24="Persona Jurídica",DATOS!G24,"Interventor")</f>
        <v>Interventor</v>
      </c>
      <c r="G39" s="53"/>
      <c r="H39" s="53"/>
      <c r="I39" s="53"/>
    </row>
    <row r="40" spans="1:10" ht="15">
      <c r="A40" s="53"/>
      <c r="B40" s="55" t="str">
        <f>IF(DATOS!E16="Persona jurídica","Contratista"," ")</f>
        <v xml:space="preserve"> </v>
      </c>
      <c r="C40" s="53"/>
      <c r="D40" s="53"/>
      <c r="E40" s="53"/>
      <c r="F40" s="55" t="str">
        <f>IF(DATOS!E24="Persona jurídica","Interventor"," ")</f>
        <v xml:space="preserve"> </v>
      </c>
      <c r="G40" s="53"/>
      <c r="H40" s="53"/>
      <c r="I40" s="53"/>
    </row>
    <row r="41" spans="1:10" ht="15">
      <c r="A41" s="53"/>
      <c r="B41" s="55"/>
      <c r="C41" s="53"/>
      <c r="D41" s="53"/>
      <c r="E41" s="53"/>
      <c r="F41" s="55"/>
      <c r="G41" s="53"/>
      <c r="H41" s="53"/>
      <c r="I41" s="53"/>
    </row>
    <row r="42" spans="1:10" ht="15">
      <c r="A42" s="53"/>
      <c r="B42" s="55"/>
      <c r="C42" s="53"/>
      <c r="D42" s="53"/>
      <c r="E42" s="53"/>
      <c r="F42" s="55"/>
      <c r="G42" s="53"/>
      <c r="H42" s="53"/>
      <c r="I42" s="53"/>
    </row>
    <row r="43" spans="1:10" ht="15">
      <c r="A43" s="53"/>
      <c r="B43" s="55"/>
      <c r="C43" s="53"/>
      <c r="D43" s="53"/>
      <c r="E43" s="53"/>
      <c r="F43" s="55"/>
      <c r="G43" s="53"/>
      <c r="H43" s="53"/>
      <c r="I43" s="53"/>
    </row>
    <row r="44" spans="1:10" ht="15">
      <c r="A44" s="53"/>
      <c r="B44" s="55"/>
      <c r="C44" s="53"/>
      <c r="D44" s="53"/>
      <c r="E44" s="53"/>
      <c r="F44" s="55"/>
      <c r="G44" s="53"/>
      <c r="H44" s="53"/>
      <c r="I44" s="53"/>
    </row>
    <row r="45" spans="1:10" ht="15">
      <c r="A45" s="53"/>
      <c r="B45" s="55"/>
      <c r="C45" s="53"/>
      <c r="D45" s="53"/>
      <c r="E45" s="53"/>
      <c r="F45" s="55"/>
      <c r="G45" s="53"/>
      <c r="H45" s="53"/>
      <c r="I45" s="53"/>
    </row>
    <row r="46" spans="1:10" ht="15.75">
      <c r="A46" s="1273">
        <f>DATOS!G30</f>
        <v>0</v>
      </c>
      <c r="B46" s="1273"/>
      <c r="C46" s="1273"/>
      <c r="D46" s="1273"/>
      <c r="E46" s="1273"/>
      <c r="F46" s="1273"/>
      <c r="G46" s="1273"/>
      <c r="H46" s="1273"/>
      <c r="I46" s="1273"/>
    </row>
    <row r="47" spans="1:10" ht="15.6" customHeight="1">
      <c r="A47" s="1272" t="s">
        <v>285</v>
      </c>
      <c r="B47" s="1272"/>
      <c r="C47" s="1272"/>
      <c r="D47" s="1272"/>
      <c r="E47" s="1272"/>
      <c r="F47" s="1272"/>
      <c r="G47" s="1272"/>
      <c r="H47" s="1272"/>
      <c r="I47" s="1272"/>
    </row>
    <row r="48" spans="1:10" ht="15">
      <c r="A48" s="53"/>
      <c r="B48" s="55"/>
      <c r="C48" s="53"/>
      <c r="D48" s="53"/>
      <c r="E48" s="53"/>
      <c r="F48" s="55"/>
      <c r="G48" s="53"/>
      <c r="H48" s="53"/>
      <c r="I48" s="53"/>
    </row>
    <row r="49" spans="1:10" ht="15">
      <c r="A49" s="53"/>
      <c r="B49" s="53"/>
      <c r="C49" s="53"/>
      <c r="D49" s="53"/>
      <c r="E49" s="53"/>
      <c r="F49" s="53"/>
      <c r="G49" s="53"/>
      <c r="H49" s="53"/>
      <c r="I49" s="53"/>
      <c r="J49" s="50"/>
    </row>
  </sheetData>
  <mergeCells count="54">
    <mergeCell ref="A46:I46"/>
    <mergeCell ref="A47:I47"/>
    <mergeCell ref="A24:I24"/>
    <mergeCell ref="A25:I25"/>
    <mergeCell ref="A27:I27"/>
    <mergeCell ref="A30:I30"/>
    <mergeCell ref="A32:I32"/>
    <mergeCell ref="A33:I33"/>
    <mergeCell ref="A28:I28"/>
    <mergeCell ref="A20:B20"/>
    <mergeCell ref="C20:I20"/>
    <mergeCell ref="A21:B21"/>
    <mergeCell ref="C21:I21"/>
    <mergeCell ref="A22:B22"/>
    <mergeCell ref="C22:I22"/>
    <mergeCell ref="A17:B17"/>
    <mergeCell ref="C17:I17"/>
    <mergeCell ref="A18:B18"/>
    <mergeCell ref="C18:I18"/>
    <mergeCell ref="A19:B19"/>
    <mergeCell ref="C19:I19"/>
    <mergeCell ref="A14:B14"/>
    <mergeCell ref="C14:I14"/>
    <mergeCell ref="A15:B15"/>
    <mergeCell ref="C15:I15"/>
    <mergeCell ref="A16:B16"/>
    <mergeCell ref="C16:I16"/>
    <mergeCell ref="A11:B11"/>
    <mergeCell ref="C11:I11"/>
    <mergeCell ref="A12:B12"/>
    <mergeCell ref="C12:I12"/>
    <mergeCell ref="A13:B13"/>
    <mergeCell ref="C13:I13"/>
    <mergeCell ref="A8:B8"/>
    <mergeCell ref="C8:I8"/>
    <mergeCell ref="A9:B9"/>
    <mergeCell ref="C9:I9"/>
    <mergeCell ref="A10:B10"/>
    <mergeCell ref="C10:I10"/>
    <mergeCell ref="A4:I4"/>
    <mergeCell ref="A6:B6"/>
    <mergeCell ref="E6:F6"/>
    <mergeCell ref="G6:H6"/>
    <mergeCell ref="A7:B7"/>
    <mergeCell ref="C7:I7"/>
    <mergeCell ref="A1:A3"/>
    <mergeCell ref="B1:E2"/>
    <mergeCell ref="F1:G1"/>
    <mergeCell ref="H1:I1"/>
    <mergeCell ref="F2:G2"/>
    <mergeCell ref="H2:I2"/>
    <mergeCell ref="B3:E3"/>
    <mergeCell ref="F3:G3"/>
    <mergeCell ref="H3:I3"/>
  </mergeCells>
  <conditionalFormatting sqref="C17:I17">
    <cfRule type="expression" dxfId="4" priority="5">
      <formula>$C$17&lt;=0</formula>
    </cfRule>
  </conditionalFormatting>
  <conditionalFormatting sqref="C18:I18">
    <cfRule type="expression" dxfId="3" priority="4">
      <formula>$C$18&lt;=0</formula>
    </cfRule>
  </conditionalFormatting>
  <conditionalFormatting sqref="C20:I20">
    <cfRule type="expression" dxfId="2" priority="3">
      <formula>$C$20&lt;=0</formula>
    </cfRule>
  </conditionalFormatting>
  <conditionalFormatting sqref="C22:I22">
    <cfRule type="expression" dxfId="1" priority="2">
      <formula>$C$22&lt;=0</formula>
    </cfRule>
  </conditionalFormatting>
  <conditionalFormatting sqref="C21:I21">
    <cfRule type="expression" dxfId="0" priority="1">
      <formula>$C$21&lt;=0</formula>
    </cfRule>
  </conditionalFormatting>
  <printOptions horizontalCentered="1"/>
  <pageMargins left="0.78740157480314965" right="0.39370078740157483" top="0.59055118110236227" bottom="1.2598425196850394" header="0.31496062992125984" footer="0.11811023622047245"/>
  <pageSetup scale="82" orientation="portrait" r:id="rId1"/>
  <headerFooter>
    <oddFooter>&amp;L&amp;G&amp;R&amp;"-,Cursiva"&amp;9Página &amp;P de &amp;N&amp;"-,Normal"&amp;11
&amp;G</oddFooter>
  </headerFooter>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tabColor rgb="FFFF0000"/>
  </sheetPr>
  <dimension ref="A1:T84"/>
  <sheetViews>
    <sheetView showGridLines="0" view="pageBreakPreview" topLeftCell="G1" zoomScaleNormal="84" zoomScaleSheetLayoutView="100" workbookViewId="0">
      <selection activeCell="G87" sqref="G87"/>
    </sheetView>
  </sheetViews>
  <sheetFormatPr baseColWidth="10" defaultRowHeight="15.75"/>
  <cols>
    <col min="1" max="1" width="7.5703125" style="757" customWidth="1"/>
    <col min="2" max="2" width="13.140625" style="483" customWidth="1"/>
    <col min="3" max="3" width="13.7109375" style="483" customWidth="1"/>
    <col min="4" max="4" width="31.42578125" style="483" customWidth="1"/>
    <col min="5" max="5" width="12" style="764" customWidth="1"/>
    <col min="6" max="6" width="24" style="483" customWidth="1"/>
    <col min="7" max="7" width="19.42578125" style="768" customWidth="1"/>
    <col min="8" max="8" width="23.5703125" style="483" customWidth="1"/>
    <col min="9" max="9" width="11" style="768" customWidth="1"/>
    <col min="10" max="10" width="15.5703125" style="768" customWidth="1"/>
    <col min="11" max="11" width="23.28515625" style="483" customWidth="1"/>
    <col min="12" max="12" width="12.28515625" style="769" customWidth="1"/>
    <col min="13" max="13" width="18.5703125" style="769" bestFit="1" customWidth="1"/>
    <col min="14" max="14" width="19.85546875" style="769" bestFit="1" customWidth="1"/>
    <col min="15" max="15" width="48.5703125" style="483" bestFit="1" customWidth="1"/>
    <col min="16" max="16" width="17.28515625" style="483" bestFit="1" customWidth="1"/>
    <col min="17" max="17" width="18" style="483" bestFit="1" customWidth="1"/>
    <col min="18" max="253" width="11.42578125" style="483"/>
    <col min="254" max="254" width="8.140625" style="483" customWidth="1"/>
    <col min="255" max="255" width="13.140625" style="483" customWidth="1"/>
    <col min="256" max="256" width="13.7109375" style="483" customWidth="1"/>
    <col min="257" max="257" width="31.42578125" style="483" customWidth="1"/>
    <col min="258" max="258" width="8.7109375" style="483" customWidth="1"/>
    <col min="259" max="259" width="11.85546875" style="483" customWidth="1"/>
    <col min="260" max="260" width="17.7109375" style="483" customWidth="1"/>
    <col min="261" max="261" width="18.7109375" style="483" customWidth="1"/>
    <col min="262" max="262" width="14" style="483" customWidth="1"/>
    <col min="263" max="263" width="17.7109375" style="483" customWidth="1"/>
    <col min="264" max="264" width="13.28515625" style="483" customWidth="1"/>
    <col min="265" max="265" width="13.85546875" style="483" customWidth="1"/>
    <col min="266" max="266" width="15.140625" style="483" customWidth="1"/>
    <col min="267" max="267" width="14.28515625" style="483" customWidth="1"/>
    <col min="268" max="268" width="18.42578125" style="483" customWidth="1"/>
    <col min="269" max="269" width="15.140625" style="483" customWidth="1"/>
    <col min="270" max="270" width="20.5703125" style="483" customWidth="1"/>
    <col min="271" max="271" width="13.5703125" style="483" bestFit="1" customWidth="1"/>
    <col min="272" max="272" width="13.7109375" style="483" bestFit="1" customWidth="1"/>
    <col min="273" max="273" width="12.28515625" style="483" bestFit="1" customWidth="1"/>
    <col min="274" max="509" width="11.42578125" style="483"/>
    <col min="510" max="510" width="8.140625" style="483" customWidth="1"/>
    <col min="511" max="511" width="13.140625" style="483" customWidth="1"/>
    <col min="512" max="512" width="13.7109375" style="483" customWidth="1"/>
    <col min="513" max="513" width="31.42578125" style="483" customWidth="1"/>
    <col min="514" max="514" width="8.7109375" style="483" customWidth="1"/>
    <col min="515" max="515" width="11.85546875" style="483" customWidth="1"/>
    <col min="516" max="516" width="17.7109375" style="483" customWidth="1"/>
    <col min="517" max="517" width="18.7109375" style="483" customWidth="1"/>
    <col min="518" max="518" width="14" style="483" customWidth="1"/>
    <col min="519" max="519" width="17.7109375" style="483" customWidth="1"/>
    <col min="520" max="520" width="13.28515625" style="483" customWidth="1"/>
    <col min="521" max="521" width="13.85546875" style="483" customWidth="1"/>
    <col min="522" max="522" width="15.140625" style="483" customWidth="1"/>
    <col min="523" max="523" width="14.28515625" style="483" customWidth="1"/>
    <col min="524" max="524" width="18.42578125" style="483" customWidth="1"/>
    <col min="525" max="525" width="15.140625" style="483" customWidth="1"/>
    <col min="526" max="526" width="20.5703125" style="483" customWidth="1"/>
    <col min="527" max="527" width="13.5703125" style="483" bestFit="1" customWidth="1"/>
    <col min="528" max="528" width="13.7109375" style="483" bestFit="1" customWidth="1"/>
    <col min="529" max="529" width="12.28515625" style="483" bestFit="1" customWidth="1"/>
    <col min="530" max="765" width="11.42578125" style="483"/>
    <col min="766" max="766" width="8.140625" style="483" customWidth="1"/>
    <col min="767" max="767" width="13.140625" style="483" customWidth="1"/>
    <col min="768" max="768" width="13.7109375" style="483" customWidth="1"/>
    <col min="769" max="769" width="31.42578125" style="483" customWidth="1"/>
    <col min="770" max="770" width="8.7109375" style="483" customWidth="1"/>
    <col min="771" max="771" width="11.85546875" style="483" customWidth="1"/>
    <col min="772" max="772" width="17.7109375" style="483" customWidth="1"/>
    <col min="773" max="773" width="18.7109375" style="483" customWidth="1"/>
    <col min="774" max="774" width="14" style="483" customWidth="1"/>
    <col min="775" max="775" width="17.7109375" style="483" customWidth="1"/>
    <col min="776" max="776" width="13.28515625" style="483" customWidth="1"/>
    <col min="777" max="777" width="13.85546875" style="483" customWidth="1"/>
    <col min="778" max="778" width="15.140625" style="483" customWidth="1"/>
    <col min="779" max="779" width="14.28515625" style="483" customWidth="1"/>
    <col min="780" max="780" width="18.42578125" style="483" customWidth="1"/>
    <col min="781" max="781" width="15.140625" style="483" customWidth="1"/>
    <col min="782" max="782" width="20.5703125" style="483" customWidth="1"/>
    <col min="783" max="783" width="13.5703125" style="483" bestFit="1" customWidth="1"/>
    <col min="784" max="784" width="13.7109375" style="483" bestFit="1" customWidth="1"/>
    <col min="785" max="785" width="12.28515625" style="483" bestFit="1" customWidth="1"/>
    <col min="786" max="1021" width="11.42578125" style="483"/>
    <col min="1022" max="1022" width="8.140625" style="483" customWidth="1"/>
    <col min="1023" max="1023" width="13.140625" style="483" customWidth="1"/>
    <col min="1024" max="1024" width="13.7109375" style="483" customWidth="1"/>
    <col min="1025" max="1025" width="31.42578125" style="483" customWidth="1"/>
    <col min="1026" max="1026" width="8.7109375" style="483" customWidth="1"/>
    <col min="1027" max="1027" width="11.85546875" style="483" customWidth="1"/>
    <col min="1028" max="1028" width="17.7109375" style="483" customWidth="1"/>
    <col min="1029" max="1029" width="18.7109375" style="483" customWidth="1"/>
    <col min="1030" max="1030" width="14" style="483" customWidth="1"/>
    <col min="1031" max="1031" width="17.7109375" style="483" customWidth="1"/>
    <col min="1032" max="1032" width="13.28515625" style="483" customWidth="1"/>
    <col min="1033" max="1033" width="13.85546875" style="483" customWidth="1"/>
    <col min="1034" max="1034" width="15.140625" style="483" customWidth="1"/>
    <col min="1035" max="1035" width="14.28515625" style="483" customWidth="1"/>
    <col min="1036" max="1036" width="18.42578125" style="483" customWidth="1"/>
    <col min="1037" max="1037" width="15.140625" style="483" customWidth="1"/>
    <col min="1038" max="1038" width="20.5703125" style="483" customWidth="1"/>
    <col min="1039" max="1039" width="13.5703125" style="483" bestFit="1" customWidth="1"/>
    <col min="1040" max="1040" width="13.7109375" style="483" bestFit="1" customWidth="1"/>
    <col min="1041" max="1041" width="12.28515625" style="483" bestFit="1" customWidth="1"/>
    <col min="1042" max="1277" width="11.42578125" style="483"/>
    <col min="1278" max="1278" width="8.140625" style="483" customWidth="1"/>
    <col min="1279" max="1279" width="13.140625" style="483" customWidth="1"/>
    <col min="1280" max="1280" width="13.7109375" style="483" customWidth="1"/>
    <col min="1281" max="1281" width="31.42578125" style="483" customWidth="1"/>
    <col min="1282" max="1282" width="8.7109375" style="483" customWidth="1"/>
    <col min="1283" max="1283" width="11.85546875" style="483" customWidth="1"/>
    <col min="1284" max="1284" width="17.7109375" style="483" customWidth="1"/>
    <col min="1285" max="1285" width="18.7109375" style="483" customWidth="1"/>
    <col min="1286" max="1286" width="14" style="483" customWidth="1"/>
    <col min="1287" max="1287" width="17.7109375" style="483" customWidth="1"/>
    <col min="1288" max="1288" width="13.28515625" style="483" customWidth="1"/>
    <col min="1289" max="1289" width="13.85546875" style="483" customWidth="1"/>
    <col min="1290" max="1290" width="15.140625" style="483" customWidth="1"/>
    <col min="1291" max="1291" width="14.28515625" style="483" customWidth="1"/>
    <col min="1292" max="1292" width="18.42578125" style="483" customWidth="1"/>
    <col min="1293" max="1293" width="15.140625" style="483" customWidth="1"/>
    <col min="1294" max="1294" width="20.5703125" style="483" customWidth="1"/>
    <col min="1295" max="1295" width="13.5703125" style="483" bestFit="1" customWidth="1"/>
    <col min="1296" max="1296" width="13.7109375" style="483" bestFit="1" customWidth="1"/>
    <col min="1297" max="1297" width="12.28515625" style="483" bestFit="1" customWidth="1"/>
    <col min="1298" max="1533" width="11.42578125" style="483"/>
    <col min="1534" max="1534" width="8.140625" style="483" customWidth="1"/>
    <col min="1535" max="1535" width="13.140625" style="483" customWidth="1"/>
    <col min="1536" max="1536" width="13.7109375" style="483" customWidth="1"/>
    <col min="1537" max="1537" width="31.42578125" style="483" customWidth="1"/>
    <col min="1538" max="1538" width="8.7109375" style="483" customWidth="1"/>
    <col min="1539" max="1539" width="11.85546875" style="483" customWidth="1"/>
    <col min="1540" max="1540" width="17.7109375" style="483" customWidth="1"/>
    <col min="1541" max="1541" width="18.7109375" style="483" customWidth="1"/>
    <col min="1542" max="1542" width="14" style="483" customWidth="1"/>
    <col min="1543" max="1543" width="17.7109375" style="483" customWidth="1"/>
    <col min="1544" max="1544" width="13.28515625" style="483" customWidth="1"/>
    <col min="1545" max="1545" width="13.85546875" style="483" customWidth="1"/>
    <col min="1546" max="1546" width="15.140625" style="483" customWidth="1"/>
    <col min="1547" max="1547" width="14.28515625" style="483" customWidth="1"/>
    <col min="1548" max="1548" width="18.42578125" style="483" customWidth="1"/>
    <col min="1549" max="1549" width="15.140625" style="483" customWidth="1"/>
    <col min="1550" max="1550" width="20.5703125" style="483" customWidth="1"/>
    <col min="1551" max="1551" width="13.5703125" style="483" bestFit="1" customWidth="1"/>
    <col min="1552" max="1552" width="13.7109375" style="483" bestFit="1" customWidth="1"/>
    <col min="1553" max="1553" width="12.28515625" style="483" bestFit="1" customWidth="1"/>
    <col min="1554" max="1789" width="11.42578125" style="483"/>
    <col min="1790" max="1790" width="8.140625" style="483" customWidth="1"/>
    <col min="1791" max="1791" width="13.140625" style="483" customWidth="1"/>
    <col min="1792" max="1792" width="13.7109375" style="483" customWidth="1"/>
    <col min="1793" max="1793" width="31.42578125" style="483" customWidth="1"/>
    <col min="1794" max="1794" width="8.7109375" style="483" customWidth="1"/>
    <col min="1795" max="1795" width="11.85546875" style="483" customWidth="1"/>
    <col min="1796" max="1796" width="17.7109375" style="483" customWidth="1"/>
    <col min="1797" max="1797" width="18.7109375" style="483" customWidth="1"/>
    <col min="1798" max="1798" width="14" style="483" customWidth="1"/>
    <col min="1799" max="1799" width="17.7109375" style="483" customWidth="1"/>
    <col min="1800" max="1800" width="13.28515625" style="483" customWidth="1"/>
    <col min="1801" max="1801" width="13.85546875" style="483" customWidth="1"/>
    <col min="1802" max="1802" width="15.140625" style="483" customWidth="1"/>
    <col min="1803" max="1803" width="14.28515625" style="483" customWidth="1"/>
    <col min="1804" max="1804" width="18.42578125" style="483" customWidth="1"/>
    <col min="1805" max="1805" width="15.140625" style="483" customWidth="1"/>
    <col min="1806" max="1806" width="20.5703125" style="483" customWidth="1"/>
    <col min="1807" max="1807" width="13.5703125" style="483" bestFit="1" customWidth="1"/>
    <col min="1808" max="1808" width="13.7109375" style="483" bestFit="1" customWidth="1"/>
    <col min="1809" max="1809" width="12.28515625" style="483" bestFit="1" customWidth="1"/>
    <col min="1810" max="2045" width="11.42578125" style="483"/>
    <col min="2046" max="2046" width="8.140625" style="483" customWidth="1"/>
    <col min="2047" max="2047" width="13.140625" style="483" customWidth="1"/>
    <col min="2048" max="2048" width="13.7109375" style="483" customWidth="1"/>
    <col min="2049" max="2049" width="31.42578125" style="483" customWidth="1"/>
    <col min="2050" max="2050" width="8.7109375" style="483" customWidth="1"/>
    <col min="2051" max="2051" width="11.85546875" style="483" customWidth="1"/>
    <col min="2052" max="2052" width="17.7109375" style="483" customWidth="1"/>
    <col min="2053" max="2053" width="18.7109375" style="483" customWidth="1"/>
    <col min="2054" max="2054" width="14" style="483" customWidth="1"/>
    <col min="2055" max="2055" width="17.7109375" style="483" customWidth="1"/>
    <col min="2056" max="2056" width="13.28515625" style="483" customWidth="1"/>
    <col min="2057" max="2057" width="13.85546875" style="483" customWidth="1"/>
    <col min="2058" max="2058" width="15.140625" style="483" customWidth="1"/>
    <col min="2059" max="2059" width="14.28515625" style="483" customWidth="1"/>
    <col min="2060" max="2060" width="18.42578125" style="483" customWidth="1"/>
    <col min="2061" max="2061" width="15.140625" style="483" customWidth="1"/>
    <col min="2062" max="2062" width="20.5703125" style="483" customWidth="1"/>
    <col min="2063" max="2063" width="13.5703125" style="483" bestFit="1" customWidth="1"/>
    <col min="2064" max="2064" width="13.7109375" style="483" bestFit="1" customWidth="1"/>
    <col min="2065" max="2065" width="12.28515625" style="483" bestFit="1" customWidth="1"/>
    <col min="2066" max="2301" width="11.42578125" style="483"/>
    <col min="2302" max="2302" width="8.140625" style="483" customWidth="1"/>
    <col min="2303" max="2303" width="13.140625" style="483" customWidth="1"/>
    <col min="2304" max="2304" width="13.7109375" style="483" customWidth="1"/>
    <col min="2305" max="2305" width="31.42578125" style="483" customWidth="1"/>
    <col min="2306" max="2306" width="8.7109375" style="483" customWidth="1"/>
    <col min="2307" max="2307" width="11.85546875" style="483" customWidth="1"/>
    <col min="2308" max="2308" width="17.7109375" style="483" customWidth="1"/>
    <col min="2309" max="2309" width="18.7109375" style="483" customWidth="1"/>
    <col min="2310" max="2310" width="14" style="483" customWidth="1"/>
    <col min="2311" max="2311" width="17.7109375" style="483" customWidth="1"/>
    <col min="2312" max="2312" width="13.28515625" style="483" customWidth="1"/>
    <col min="2313" max="2313" width="13.85546875" style="483" customWidth="1"/>
    <col min="2314" max="2314" width="15.140625" style="483" customWidth="1"/>
    <col min="2315" max="2315" width="14.28515625" style="483" customWidth="1"/>
    <col min="2316" max="2316" width="18.42578125" style="483" customWidth="1"/>
    <col min="2317" max="2317" width="15.140625" style="483" customWidth="1"/>
    <col min="2318" max="2318" width="20.5703125" style="483" customWidth="1"/>
    <col min="2319" max="2319" width="13.5703125" style="483" bestFit="1" customWidth="1"/>
    <col min="2320" max="2320" width="13.7109375" style="483" bestFit="1" customWidth="1"/>
    <col min="2321" max="2321" width="12.28515625" style="483" bestFit="1" customWidth="1"/>
    <col min="2322" max="2557" width="11.42578125" style="483"/>
    <col min="2558" max="2558" width="8.140625" style="483" customWidth="1"/>
    <col min="2559" max="2559" width="13.140625" style="483" customWidth="1"/>
    <col min="2560" max="2560" width="13.7109375" style="483" customWidth="1"/>
    <col min="2561" max="2561" width="31.42578125" style="483" customWidth="1"/>
    <col min="2562" max="2562" width="8.7109375" style="483" customWidth="1"/>
    <col min="2563" max="2563" width="11.85546875" style="483" customWidth="1"/>
    <col min="2564" max="2564" width="17.7109375" style="483" customWidth="1"/>
    <col min="2565" max="2565" width="18.7109375" style="483" customWidth="1"/>
    <col min="2566" max="2566" width="14" style="483" customWidth="1"/>
    <col min="2567" max="2567" width="17.7109375" style="483" customWidth="1"/>
    <col min="2568" max="2568" width="13.28515625" style="483" customWidth="1"/>
    <col min="2569" max="2569" width="13.85546875" style="483" customWidth="1"/>
    <col min="2570" max="2570" width="15.140625" style="483" customWidth="1"/>
    <col min="2571" max="2571" width="14.28515625" style="483" customWidth="1"/>
    <col min="2572" max="2572" width="18.42578125" style="483" customWidth="1"/>
    <col min="2573" max="2573" width="15.140625" style="483" customWidth="1"/>
    <col min="2574" max="2574" width="20.5703125" style="483" customWidth="1"/>
    <col min="2575" max="2575" width="13.5703125" style="483" bestFit="1" customWidth="1"/>
    <col min="2576" max="2576" width="13.7109375" style="483" bestFit="1" customWidth="1"/>
    <col min="2577" max="2577" width="12.28515625" style="483" bestFit="1" customWidth="1"/>
    <col min="2578" max="2813" width="11.42578125" style="483"/>
    <col min="2814" max="2814" width="8.140625" style="483" customWidth="1"/>
    <col min="2815" max="2815" width="13.140625" style="483" customWidth="1"/>
    <col min="2816" max="2816" width="13.7109375" style="483" customWidth="1"/>
    <col min="2817" max="2817" width="31.42578125" style="483" customWidth="1"/>
    <col min="2818" max="2818" width="8.7109375" style="483" customWidth="1"/>
    <col min="2819" max="2819" width="11.85546875" style="483" customWidth="1"/>
    <col min="2820" max="2820" width="17.7109375" style="483" customWidth="1"/>
    <col min="2821" max="2821" width="18.7109375" style="483" customWidth="1"/>
    <col min="2822" max="2822" width="14" style="483" customWidth="1"/>
    <col min="2823" max="2823" width="17.7109375" style="483" customWidth="1"/>
    <col min="2824" max="2824" width="13.28515625" style="483" customWidth="1"/>
    <col min="2825" max="2825" width="13.85546875" style="483" customWidth="1"/>
    <col min="2826" max="2826" width="15.140625" style="483" customWidth="1"/>
    <col min="2827" max="2827" width="14.28515625" style="483" customWidth="1"/>
    <col min="2828" max="2828" width="18.42578125" style="483" customWidth="1"/>
    <col min="2829" max="2829" width="15.140625" style="483" customWidth="1"/>
    <col min="2830" max="2830" width="20.5703125" style="483" customWidth="1"/>
    <col min="2831" max="2831" width="13.5703125" style="483" bestFit="1" customWidth="1"/>
    <col min="2832" max="2832" width="13.7109375" style="483" bestFit="1" customWidth="1"/>
    <col min="2833" max="2833" width="12.28515625" style="483" bestFit="1" customWidth="1"/>
    <col min="2834" max="3069" width="11.42578125" style="483"/>
    <col min="3070" max="3070" width="8.140625" style="483" customWidth="1"/>
    <col min="3071" max="3071" width="13.140625" style="483" customWidth="1"/>
    <col min="3072" max="3072" width="13.7109375" style="483" customWidth="1"/>
    <col min="3073" max="3073" width="31.42578125" style="483" customWidth="1"/>
    <col min="3074" max="3074" width="8.7109375" style="483" customWidth="1"/>
    <col min="3075" max="3075" width="11.85546875" style="483" customWidth="1"/>
    <col min="3076" max="3076" width="17.7109375" style="483" customWidth="1"/>
    <col min="3077" max="3077" width="18.7109375" style="483" customWidth="1"/>
    <col min="3078" max="3078" width="14" style="483" customWidth="1"/>
    <col min="3079" max="3079" width="17.7109375" style="483" customWidth="1"/>
    <col min="3080" max="3080" width="13.28515625" style="483" customWidth="1"/>
    <col min="3081" max="3081" width="13.85546875" style="483" customWidth="1"/>
    <col min="3082" max="3082" width="15.140625" style="483" customWidth="1"/>
    <col min="3083" max="3083" width="14.28515625" style="483" customWidth="1"/>
    <col min="3084" max="3084" width="18.42578125" style="483" customWidth="1"/>
    <col min="3085" max="3085" width="15.140625" style="483" customWidth="1"/>
    <col min="3086" max="3086" width="20.5703125" style="483" customWidth="1"/>
    <col min="3087" max="3087" width="13.5703125" style="483" bestFit="1" customWidth="1"/>
    <col min="3088" max="3088" width="13.7109375" style="483" bestFit="1" customWidth="1"/>
    <col min="3089" max="3089" width="12.28515625" style="483" bestFit="1" customWidth="1"/>
    <col min="3090" max="3325" width="11.42578125" style="483"/>
    <col min="3326" max="3326" width="8.140625" style="483" customWidth="1"/>
    <col min="3327" max="3327" width="13.140625" style="483" customWidth="1"/>
    <col min="3328" max="3328" width="13.7109375" style="483" customWidth="1"/>
    <col min="3329" max="3329" width="31.42578125" style="483" customWidth="1"/>
    <col min="3330" max="3330" width="8.7109375" style="483" customWidth="1"/>
    <col min="3331" max="3331" width="11.85546875" style="483" customWidth="1"/>
    <col min="3332" max="3332" width="17.7109375" style="483" customWidth="1"/>
    <col min="3333" max="3333" width="18.7109375" style="483" customWidth="1"/>
    <col min="3334" max="3334" width="14" style="483" customWidth="1"/>
    <col min="3335" max="3335" width="17.7109375" style="483" customWidth="1"/>
    <col min="3336" max="3336" width="13.28515625" style="483" customWidth="1"/>
    <col min="3337" max="3337" width="13.85546875" style="483" customWidth="1"/>
    <col min="3338" max="3338" width="15.140625" style="483" customWidth="1"/>
    <col min="3339" max="3339" width="14.28515625" style="483" customWidth="1"/>
    <col min="3340" max="3340" width="18.42578125" style="483" customWidth="1"/>
    <col min="3341" max="3341" width="15.140625" style="483" customWidth="1"/>
    <col min="3342" max="3342" width="20.5703125" style="483" customWidth="1"/>
    <col min="3343" max="3343" width="13.5703125" style="483" bestFit="1" customWidth="1"/>
    <col min="3344" max="3344" width="13.7109375" style="483" bestFit="1" customWidth="1"/>
    <col min="3345" max="3345" width="12.28515625" style="483" bestFit="1" customWidth="1"/>
    <col min="3346" max="3581" width="11.42578125" style="483"/>
    <col min="3582" max="3582" width="8.140625" style="483" customWidth="1"/>
    <col min="3583" max="3583" width="13.140625" style="483" customWidth="1"/>
    <col min="3584" max="3584" width="13.7109375" style="483" customWidth="1"/>
    <col min="3585" max="3585" width="31.42578125" style="483" customWidth="1"/>
    <col min="3586" max="3586" width="8.7109375" style="483" customWidth="1"/>
    <col min="3587" max="3587" width="11.85546875" style="483" customWidth="1"/>
    <col min="3588" max="3588" width="17.7109375" style="483" customWidth="1"/>
    <col min="3589" max="3589" width="18.7109375" style="483" customWidth="1"/>
    <col min="3590" max="3590" width="14" style="483" customWidth="1"/>
    <col min="3591" max="3591" width="17.7109375" style="483" customWidth="1"/>
    <col min="3592" max="3592" width="13.28515625" style="483" customWidth="1"/>
    <col min="3593" max="3593" width="13.85546875" style="483" customWidth="1"/>
    <col min="3594" max="3594" width="15.140625" style="483" customWidth="1"/>
    <col min="3595" max="3595" width="14.28515625" style="483" customWidth="1"/>
    <col min="3596" max="3596" width="18.42578125" style="483" customWidth="1"/>
    <col min="3597" max="3597" width="15.140625" style="483" customWidth="1"/>
    <col min="3598" max="3598" width="20.5703125" style="483" customWidth="1"/>
    <col min="3599" max="3599" width="13.5703125" style="483" bestFit="1" customWidth="1"/>
    <col min="3600" max="3600" width="13.7109375" style="483" bestFit="1" customWidth="1"/>
    <col min="3601" max="3601" width="12.28515625" style="483" bestFit="1" customWidth="1"/>
    <col min="3602" max="3837" width="11.42578125" style="483"/>
    <col min="3838" max="3838" width="8.140625" style="483" customWidth="1"/>
    <col min="3839" max="3839" width="13.140625" style="483" customWidth="1"/>
    <col min="3840" max="3840" width="13.7109375" style="483" customWidth="1"/>
    <col min="3841" max="3841" width="31.42578125" style="483" customWidth="1"/>
    <col min="3842" max="3842" width="8.7109375" style="483" customWidth="1"/>
    <col min="3843" max="3843" width="11.85546875" style="483" customWidth="1"/>
    <col min="3844" max="3844" width="17.7109375" style="483" customWidth="1"/>
    <col min="3845" max="3845" width="18.7109375" style="483" customWidth="1"/>
    <col min="3846" max="3846" width="14" style="483" customWidth="1"/>
    <col min="3847" max="3847" width="17.7109375" style="483" customWidth="1"/>
    <col min="3848" max="3848" width="13.28515625" style="483" customWidth="1"/>
    <col min="3849" max="3849" width="13.85546875" style="483" customWidth="1"/>
    <col min="3850" max="3850" width="15.140625" style="483" customWidth="1"/>
    <col min="3851" max="3851" width="14.28515625" style="483" customWidth="1"/>
    <col min="3852" max="3852" width="18.42578125" style="483" customWidth="1"/>
    <col min="3853" max="3853" width="15.140625" style="483" customWidth="1"/>
    <col min="3854" max="3854" width="20.5703125" style="483" customWidth="1"/>
    <col min="3855" max="3855" width="13.5703125" style="483" bestFit="1" customWidth="1"/>
    <col min="3856" max="3856" width="13.7109375" style="483" bestFit="1" customWidth="1"/>
    <col min="3857" max="3857" width="12.28515625" style="483" bestFit="1" customWidth="1"/>
    <col min="3858" max="4093" width="11.42578125" style="483"/>
    <col min="4094" max="4094" width="8.140625" style="483" customWidth="1"/>
    <col min="4095" max="4095" width="13.140625" style="483" customWidth="1"/>
    <col min="4096" max="4096" width="13.7109375" style="483" customWidth="1"/>
    <col min="4097" max="4097" width="31.42578125" style="483" customWidth="1"/>
    <col min="4098" max="4098" width="8.7109375" style="483" customWidth="1"/>
    <col min="4099" max="4099" width="11.85546875" style="483" customWidth="1"/>
    <col min="4100" max="4100" width="17.7109375" style="483" customWidth="1"/>
    <col min="4101" max="4101" width="18.7109375" style="483" customWidth="1"/>
    <col min="4102" max="4102" width="14" style="483" customWidth="1"/>
    <col min="4103" max="4103" width="17.7109375" style="483" customWidth="1"/>
    <col min="4104" max="4104" width="13.28515625" style="483" customWidth="1"/>
    <col min="4105" max="4105" width="13.85546875" style="483" customWidth="1"/>
    <col min="4106" max="4106" width="15.140625" style="483" customWidth="1"/>
    <col min="4107" max="4107" width="14.28515625" style="483" customWidth="1"/>
    <col min="4108" max="4108" width="18.42578125" style="483" customWidth="1"/>
    <col min="4109" max="4109" width="15.140625" style="483" customWidth="1"/>
    <col min="4110" max="4110" width="20.5703125" style="483" customWidth="1"/>
    <col min="4111" max="4111" width="13.5703125" style="483" bestFit="1" customWidth="1"/>
    <col min="4112" max="4112" width="13.7109375" style="483" bestFit="1" customWidth="1"/>
    <col min="4113" max="4113" width="12.28515625" style="483" bestFit="1" customWidth="1"/>
    <col min="4114" max="4349" width="11.42578125" style="483"/>
    <col min="4350" max="4350" width="8.140625" style="483" customWidth="1"/>
    <col min="4351" max="4351" width="13.140625" style="483" customWidth="1"/>
    <col min="4352" max="4352" width="13.7109375" style="483" customWidth="1"/>
    <col min="4353" max="4353" width="31.42578125" style="483" customWidth="1"/>
    <col min="4354" max="4354" width="8.7109375" style="483" customWidth="1"/>
    <col min="4355" max="4355" width="11.85546875" style="483" customWidth="1"/>
    <col min="4356" max="4356" width="17.7109375" style="483" customWidth="1"/>
    <col min="4357" max="4357" width="18.7109375" style="483" customWidth="1"/>
    <col min="4358" max="4358" width="14" style="483" customWidth="1"/>
    <col min="4359" max="4359" width="17.7109375" style="483" customWidth="1"/>
    <col min="4360" max="4360" width="13.28515625" style="483" customWidth="1"/>
    <col min="4361" max="4361" width="13.85546875" style="483" customWidth="1"/>
    <col min="4362" max="4362" width="15.140625" style="483" customWidth="1"/>
    <col min="4363" max="4363" width="14.28515625" style="483" customWidth="1"/>
    <col min="4364" max="4364" width="18.42578125" style="483" customWidth="1"/>
    <col min="4365" max="4365" width="15.140625" style="483" customWidth="1"/>
    <col min="4366" max="4366" width="20.5703125" style="483" customWidth="1"/>
    <col min="4367" max="4367" width="13.5703125" style="483" bestFit="1" customWidth="1"/>
    <col min="4368" max="4368" width="13.7109375" style="483" bestFit="1" customWidth="1"/>
    <col min="4369" max="4369" width="12.28515625" style="483" bestFit="1" customWidth="1"/>
    <col min="4370" max="4605" width="11.42578125" style="483"/>
    <col min="4606" max="4606" width="8.140625" style="483" customWidth="1"/>
    <col min="4607" max="4607" width="13.140625" style="483" customWidth="1"/>
    <col min="4608" max="4608" width="13.7109375" style="483" customWidth="1"/>
    <col min="4609" max="4609" width="31.42578125" style="483" customWidth="1"/>
    <col min="4610" max="4610" width="8.7109375" style="483" customWidth="1"/>
    <col min="4611" max="4611" width="11.85546875" style="483" customWidth="1"/>
    <col min="4612" max="4612" width="17.7109375" style="483" customWidth="1"/>
    <col min="4613" max="4613" width="18.7109375" style="483" customWidth="1"/>
    <col min="4614" max="4614" width="14" style="483" customWidth="1"/>
    <col min="4615" max="4615" width="17.7109375" style="483" customWidth="1"/>
    <col min="4616" max="4616" width="13.28515625" style="483" customWidth="1"/>
    <col min="4617" max="4617" width="13.85546875" style="483" customWidth="1"/>
    <col min="4618" max="4618" width="15.140625" style="483" customWidth="1"/>
    <col min="4619" max="4619" width="14.28515625" style="483" customWidth="1"/>
    <col min="4620" max="4620" width="18.42578125" style="483" customWidth="1"/>
    <col min="4621" max="4621" width="15.140625" style="483" customWidth="1"/>
    <col min="4622" max="4622" width="20.5703125" style="483" customWidth="1"/>
    <col min="4623" max="4623" width="13.5703125" style="483" bestFit="1" customWidth="1"/>
    <col min="4624" max="4624" width="13.7109375" style="483" bestFit="1" customWidth="1"/>
    <col min="4625" max="4625" width="12.28515625" style="483" bestFit="1" customWidth="1"/>
    <col min="4626" max="4861" width="11.42578125" style="483"/>
    <col min="4862" max="4862" width="8.140625" style="483" customWidth="1"/>
    <col min="4863" max="4863" width="13.140625" style="483" customWidth="1"/>
    <col min="4864" max="4864" width="13.7109375" style="483" customWidth="1"/>
    <col min="4865" max="4865" width="31.42578125" style="483" customWidth="1"/>
    <col min="4866" max="4866" width="8.7109375" style="483" customWidth="1"/>
    <col min="4867" max="4867" width="11.85546875" style="483" customWidth="1"/>
    <col min="4868" max="4868" width="17.7109375" style="483" customWidth="1"/>
    <col min="4869" max="4869" width="18.7109375" style="483" customWidth="1"/>
    <col min="4870" max="4870" width="14" style="483" customWidth="1"/>
    <col min="4871" max="4871" width="17.7109375" style="483" customWidth="1"/>
    <col min="4872" max="4872" width="13.28515625" style="483" customWidth="1"/>
    <col min="4873" max="4873" width="13.85546875" style="483" customWidth="1"/>
    <col min="4874" max="4874" width="15.140625" style="483" customWidth="1"/>
    <col min="4875" max="4875" width="14.28515625" style="483" customWidth="1"/>
    <col min="4876" max="4876" width="18.42578125" style="483" customWidth="1"/>
    <col min="4877" max="4877" width="15.140625" style="483" customWidth="1"/>
    <col min="4878" max="4878" width="20.5703125" style="483" customWidth="1"/>
    <col min="4879" max="4879" width="13.5703125" style="483" bestFit="1" customWidth="1"/>
    <col min="4880" max="4880" width="13.7109375" style="483" bestFit="1" customWidth="1"/>
    <col min="4881" max="4881" width="12.28515625" style="483" bestFit="1" customWidth="1"/>
    <col min="4882" max="5117" width="11.42578125" style="483"/>
    <col min="5118" max="5118" width="8.140625" style="483" customWidth="1"/>
    <col min="5119" max="5119" width="13.140625" style="483" customWidth="1"/>
    <col min="5120" max="5120" width="13.7109375" style="483" customWidth="1"/>
    <col min="5121" max="5121" width="31.42578125" style="483" customWidth="1"/>
    <col min="5122" max="5122" width="8.7109375" style="483" customWidth="1"/>
    <col min="5123" max="5123" width="11.85546875" style="483" customWidth="1"/>
    <col min="5124" max="5124" width="17.7109375" style="483" customWidth="1"/>
    <col min="5125" max="5125" width="18.7109375" style="483" customWidth="1"/>
    <col min="5126" max="5126" width="14" style="483" customWidth="1"/>
    <col min="5127" max="5127" width="17.7109375" style="483" customWidth="1"/>
    <col min="5128" max="5128" width="13.28515625" style="483" customWidth="1"/>
    <col min="5129" max="5129" width="13.85546875" style="483" customWidth="1"/>
    <col min="5130" max="5130" width="15.140625" style="483" customWidth="1"/>
    <col min="5131" max="5131" width="14.28515625" style="483" customWidth="1"/>
    <col min="5132" max="5132" width="18.42578125" style="483" customWidth="1"/>
    <col min="5133" max="5133" width="15.140625" style="483" customWidth="1"/>
    <col min="5134" max="5134" width="20.5703125" style="483" customWidth="1"/>
    <col min="5135" max="5135" width="13.5703125" style="483" bestFit="1" customWidth="1"/>
    <col min="5136" max="5136" width="13.7109375" style="483" bestFit="1" customWidth="1"/>
    <col min="5137" max="5137" width="12.28515625" style="483" bestFit="1" customWidth="1"/>
    <col min="5138" max="5373" width="11.42578125" style="483"/>
    <col min="5374" max="5374" width="8.140625" style="483" customWidth="1"/>
    <col min="5375" max="5375" width="13.140625" style="483" customWidth="1"/>
    <col min="5376" max="5376" width="13.7109375" style="483" customWidth="1"/>
    <col min="5377" max="5377" width="31.42578125" style="483" customWidth="1"/>
    <col min="5378" max="5378" width="8.7109375" style="483" customWidth="1"/>
    <col min="5379" max="5379" width="11.85546875" style="483" customWidth="1"/>
    <col min="5380" max="5380" width="17.7109375" style="483" customWidth="1"/>
    <col min="5381" max="5381" width="18.7109375" style="483" customWidth="1"/>
    <col min="5382" max="5382" width="14" style="483" customWidth="1"/>
    <col min="5383" max="5383" width="17.7109375" style="483" customWidth="1"/>
    <col min="5384" max="5384" width="13.28515625" style="483" customWidth="1"/>
    <col min="5385" max="5385" width="13.85546875" style="483" customWidth="1"/>
    <col min="5386" max="5386" width="15.140625" style="483" customWidth="1"/>
    <col min="5387" max="5387" width="14.28515625" style="483" customWidth="1"/>
    <col min="5388" max="5388" width="18.42578125" style="483" customWidth="1"/>
    <col min="5389" max="5389" width="15.140625" style="483" customWidth="1"/>
    <col min="5390" max="5390" width="20.5703125" style="483" customWidth="1"/>
    <col min="5391" max="5391" width="13.5703125" style="483" bestFit="1" customWidth="1"/>
    <col min="5392" max="5392" width="13.7109375" style="483" bestFit="1" customWidth="1"/>
    <col min="5393" max="5393" width="12.28515625" style="483" bestFit="1" customWidth="1"/>
    <col min="5394" max="5629" width="11.42578125" style="483"/>
    <col min="5630" max="5630" width="8.140625" style="483" customWidth="1"/>
    <col min="5631" max="5631" width="13.140625" style="483" customWidth="1"/>
    <col min="5632" max="5632" width="13.7109375" style="483" customWidth="1"/>
    <col min="5633" max="5633" width="31.42578125" style="483" customWidth="1"/>
    <col min="5634" max="5634" width="8.7109375" style="483" customWidth="1"/>
    <col min="5635" max="5635" width="11.85546875" style="483" customWidth="1"/>
    <col min="5636" max="5636" width="17.7109375" style="483" customWidth="1"/>
    <col min="5637" max="5637" width="18.7109375" style="483" customWidth="1"/>
    <col min="5638" max="5638" width="14" style="483" customWidth="1"/>
    <col min="5639" max="5639" width="17.7109375" style="483" customWidth="1"/>
    <col min="5640" max="5640" width="13.28515625" style="483" customWidth="1"/>
    <col min="5641" max="5641" width="13.85546875" style="483" customWidth="1"/>
    <col min="5642" max="5642" width="15.140625" style="483" customWidth="1"/>
    <col min="5643" max="5643" width="14.28515625" style="483" customWidth="1"/>
    <col min="5644" max="5644" width="18.42578125" style="483" customWidth="1"/>
    <col min="5645" max="5645" width="15.140625" style="483" customWidth="1"/>
    <col min="5646" max="5646" width="20.5703125" style="483" customWidth="1"/>
    <col min="5647" max="5647" width="13.5703125" style="483" bestFit="1" customWidth="1"/>
    <col min="5648" max="5648" width="13.7109375" style="483" bestFit="1" customWidth="1"/>
    <col min="5649" max="5649" width="12.28515625" style="483" bestFit="1" customWidth="1"/>
    <col min="5650" max="5885" width="11.42578125" style="483"/>
    <col min="5886" max="5886" width="8.140625" style="483" customWidth="1"/>
    <col min="5887" max="5887" width="13.140625" style="483" customWidth="1"/>
    <col min="5888" max="5888" width="13.7109375" style="483" customWidth="1"/>
    <col min="5889" max="5889" width="31.42578125" style="483" customWidth="1"/>
    <col min="5890" max="5890" width="8.7109375" style="483" customWidth="1"/>
    <col min="5891" max="5891" width="11.85546875" style="483" customWidth="1"/>
    <col min="5892" max="5892" width="17.7109375" style="483" customWidth="1"/>
    <col min="5893" max="5893" width="18.7109375" style="483" customWidth="1"/>
    <col min="5894" max="5894" width="14" style="483" customWidth="1"/>
    <col min="5895" max="5895" width="17.7109375" style="483" customWidth="1"/>
    <col min="5896" max="5896" width="13.28515625" style="483" customWidth="1"/>
    <col min="5897" max="5897" width="13.85546875" style="483" customWidth="1"/>
    <col min="5898" max="5898" width="15.140625" style="483" customWidth="1"/>
    <col min="5899" max="5899" width="14.28515625" style="483" customWidth="1"/>
    <col min="5900" max="5900" width="18.42578125" style="483" customWidth="1"/>
    <col min="5901" max="5901" width="15.140625" style="483" customWidth="1"/>
    <col min="5902" max="5902" width="20.5703125" style="483" customWidth="1"/>
    <col min="5903" max="5903" width="13.5703125" style="483" bestFit="1" customWidth="1"/>
    <col min="5904" max="5904" width="13.7109375" style="483" bestFit="1" customWidth="1"/>
    <col min="5905" max="5905" width="12.28515625" style="483" bestFit="1" customWidth="1"/>
    <col min="5906" max="6141" width="11.42578125" style="483"/>
    <col min="6142" max="6142" width="8.140625" style="483" customWidth="1"/>
    <col min="6143" max="6143" width="13.140625" style="483" customWidth="1"/>
    <col min="6144" max="6144" width="13.7109375" style="483" customWidth="1"/>
    <col min="6145" max="6145" width="31.42578125" style="483" customWidth="1"/>
    <col min="6146" max="6146" width="8.7109375" style="483" customWidth="1"/>
    <col min="6147" max="6147" width="11.85546875" style="483" customWidth="1"/>
    <col min="6148" max="6148" width="17.7109375" style="483" customWidth="1"/>
    <col min="6149" max="6149" width="18.7109375" style="483" customWidth="1"/>
    <col min="6150" max="6150" width="14" style="483" customWidth="1"/>
    <col min="6151" max="6151" width="17.7109375" style="483" customWidth="1"/>
    <col min="6152" max="6152" width="13.28515625" style="483" customWidth="1"/>
    <col min="6153" max="6153" width="13.85546875" style="483" customWidth="1"/>
    <col min="6154" max="6154" width="15.140625" style="483" customWidth="1"/>
    <col min="6155" max="6155" width="14.28515625" style="483" customWidth="1"/>
    <col min="6156" max="6156" width="18.42578125" style="483" customWidth="1"/>
    <col min="6157" max="6157" width="15.140625" style="483" customWidth="1"/>
    <col min="6158" max="6158" width="20.5703125" style="483" customWidth="1"/>
    <col min="6159" max="6159" width="13.5703125" style="483" bestFit="1" customWidth="1"/>
    <col min="6160" max="6160" width="13.7109375" style="483" bestFit="1" customWidth="1"/>
    <col min="6161" max="6161" width="12.28515625" style="483" bestFit="1" customWidth="1"/>
    <col min="6162" max="6397" width="11.42578125" style="483"/>
    <col min="6398" max="6398" width="8.140625" style="483" customWidth="1"/>
    <col min="6399" max="6399" width="13.140625" style="483" customWidth="1"/>
    <col min="6400" max="6400" width="13.7109375" style="483" customWidth="1"/>
    <col min="6401" max="6401" width="31.42578125" style="483" customWidth="1"/>
    <col min="6402" max="6402" width="8.7109375" style="483" customWidth="1"/>
    <col min="6403" max="6403" width="11.85546875" style="483" customWidth="1"/>
    <col min="6404" max="6404" width="17.7109375" style="483" customWidth="1"/>
    <col min="6405" max="6405" width="18.7109375" style="483" customWidth="1"/>
    <col min="6406" max="6406" width="14" style="483" customWidth="1"/>
    <col min="6407" max="6407" width="17.7109375" style="483" customWidth="1"/>
    <col min="6408" max="6408" width="13.28515625" style="483" customWidth="1"/>
    <col min="6409" max="6409" width="13.85546875" style="483" customWidth="1"/>
    <col min="6410" max="6410" width="15.140625" style="483" customWidth="1"/>
    <col min="6411" max="6411" width="14.28515625" style="483" customWidth="1"/>
    <col min="6412" max="6412" width="18.42578125" style="483" customWidth="1"/>
    <col min="6413" max="6413" width="15.140625" style="483" customWidth="1"/>
    <col min="6414" max="6414" width="20.5703125" style="483" customWidth="1"/>
    <col min="6415" max="6415" width="13.5703125" style="483" bestFit="1" customWidth="1"/>
    <col min="6416" max="6416" width="13.7109375" style="483" bestFit="1" customWidth="1"/>
    <col min="6417" max="6417" width="12.28515625" style="483" bestFit="1" customWidth="1"/>
    <col min="6418" max="6653" width="11.42578125" style="483"/>
    <col min="6654" max="6654" width="8.140625" style="483" customWidth="1"/>
    <col min="6655" max="6655" width="13.140625" style="483" customWidth="1"/>
    <col min="6656" max="6656" width="13.7109375" style="483" customWidth="1"/>
    <col min="6657" max="6657" width="31.42578125" style="483" customWidth="1"/>
    <col min="6658" max="6658" width="8.7109375" style="483" customWidth="1"/>
    <col min="6659" max="6659" width="11.85546875" style="483" customWidth="1"/>
    <col min="6660" max="6660" width="17.7109375" style="483" customWidth="1"/>
    <col min="6661" max="6661" width="18.7109375" style="483" customWidth="1"/>
    <col min="6662" max="6662" width="14" style="483" customWidth="1"/>
    <col min="6663" max="6663" width="17.7109375" style="483" customWidth="1"/>
    <col min="6664" max="6664" width="13.28515625" style="483" customWidth="1"/>
    <col min="6665" max="6665" width="13.85546875" style="483" customWidth="1"/>
    <col min="6666" max="6666" width="15.140625" style="483" customWidth="1"/>
    <col min="6667" max="6667" width="14.28515625" style="483" customWidth="1"/>
    <col min="6668" max="6668" width="18.42578125" style="483" customWidth="1"/>
    <col min="6669" max="6669" width="15.140625" style="483" customWidth="1"/>
    <col min="6670" max="6670" width="20.5703125" style="483" customWidth="1"/>
    <col min="6671" max="6671" width="13.5703125" style="483" bestFit="1" customWidth="1"/>
    <col min="6672" max="6672" width="13.7109375" style="483" bestFit="1" customWidth="1"/>
    <col min="6673" max="6673" width="12.28515625" style="483" bestFit="1" customWidth="1"/>
    <col min="6674" max="6909" width="11.42578125" style="483"/>
    <col min="6910" max="6910" width="8.140625" style="483" customWidth="1"/>
    <col min="6911" max="6911" width="13.140625" style="483" customWidth="1"/>
    <col min="6912" max="6912" width="13.7109375" style="483" customWidth="1"/>
    <col min="6913" max="6913" width="31.42578125" style="483" customWidth="1"/>
    <col min="6914" max="6914" width="8.7109375" style="483" customWidth="1"/>
    <col min="6915" max="6915" width="11.85546875" style="483" customWidth="1"/>
    <col min="6916" max="6916" width="17.7109375" style="483" customWidth="1"/>
    <col min="6917" max="6917" width="18.7109375" style="483" customWidth="1"/>
    <col min="6918" max="6918" width="14" style="483" customWidth="1"/>
    <col min="6919" max="6919" width="17.7109375" style="483" customWidth="1"/>
    <col min="6920" max="6920" width="13.28515625" style="483" customWidth="1"/>
    <col min="6921" max="6921" width="13.85546875" style="483" customWidth="1"/>
    <col min="6922" max="6922" width="15.140625" style="483" customWidth="1"/>
    <col min="6923" max="6923" width="14.28515625" style="483" customWidth="1"/>
    <col min="6924" max="6924" width="18.42578125" style="483" customWidth="1"/>
    <col min="6925" max="6925" width="15.140625" style="483" customWidth="1"/>
    <col min="6926" max="6926" width="20.5703125" style="483" customWidth="1"/>
    <col min="6927" max="6927" width="13.5703125" style="483" bestFit="1" customWidth="1"/>
    <col min="6928" max="6928" width="13.7109375" style="483" bestFit="1" customWidth="1"/>
    <col min="6929" max="6929" width="12.28515625" style="483" bestFit="1" customWidth="1"/>
    <col min="6930" max="7165" width="11.42578125" style="483"/>
    <col min="7166" max="7166" width="8.140625" style="483" customWidth="1"/>
    <col min="7167" max="7167" width="13.140625" style="483" customWidth="1"/>
    <col min="7168" max="7168" width="13.7109375" style="483" customWidth="1"/>
    <col min="7169" max="7169" width="31.42578125" style="483" customWidth="1"/>
    <col min="7170" max="7170" width="8.7109375" style="483" customWidth="1"/>
    <col min="7171" max="7171" width="11.85546875" style="483" customWidth="1"/>
    <col min="7172" max="7172" width="17.7109375" style="483" customWidth="1"/>
    <col min="7173" max="7173" width="18.7109375" style="483" customWidth="1"/>
    <col min="7174" max="7174" width="14" style="483" customWidth="1"/>
    <col min="7175" max="7175" width="17.7109375" style="483" customWidth="1"/>
    <col min="7176" max="7176" width="13.28515625" style="483" customWidth="1"/>
    <col min="7177" max="7177" width="13.85546875" style="483" customWidth="1"/>
    <col min="7178" max="7178" width="15.140625" style="483" customWidth="1"/>
    <col min="7179" max="7179" width="14.28515625" style="483" customWidth="1"/>
    <col min="7180" max="7180" width="18.42578125" style="483" customWidth="1"/>
    <col min="7181" max="7181" width="15.140625" style="483" customWidth="1"/>
    <col min="7182" max="7182" width="20.5703125" style="483" customWidth="1"/>
    <col min="7183" max="7183" width="13.5703125" style="483" bestFit="1" customWidth="1"/>
    <col min="7184" max="7184" width="13.7109375" style="483" bestFit="1" customWidth="1"/>
    <col min="7185" max="7185" width="12.28515625" style="483" bestFit="1" customWidth="1"/>
    <col min="7186" max="7421" width="11.42578125" style="483"/>
    <col min="7422" max="7422" width="8.140625" style="483" customWidth="1"/>
    <col min="7423" max="7423" width="13.140625" style="483" customWidth="1"/>
    <col min="7424" max="7424" width="13.7109375" style="483" customWidth="1"/>
    <col min="7425" max="7425" width="31.42578125" style="483" customWidth="1"/>
    <col min="7426" max="7426" width="8.7109375" style="483" customWidth="1"/>
    <col min="7427" max="7427" width="11.85546875" style="483" customWidth="1"/>
    <col min="7428" max="7428" width="17.7109375" style="483" customWidth="1"/>
    <col min="7429" max="7429" width="18.7109375" style="483" customWidth="1"/>
    <col min="7430" max="7430" width="14" style="483" customWidth="1"/>
    <col min="7431" max="7431" width="17.7109375" style="483" customWidth="1"/>
    <col min="7432" max="7432" width="13.28515625" style="483" customWidth="1"/>
    <col min="7433" max="7433" width="13.85546875" style="483" customWidth="1"/>
    <col min="7434" max="7434" width="15.140625" style="483" customWidth="1"/>
    <col min="7435" max="7435" width="14.28515625" style="483" customWidth="1"/>
    <col min="7436" max="7436" width="18.42578125" style="483" customWidth="1"/>
    <col min="7437" max="7437" width="15.140625" style="483" customWidth="1"/>
    <col min="7438" max="7438" width="20.5703125" style="483" customWidth="1"/>
    <col min="7439" max="7439" width="13.5703125" style="483" bestFit="1" customWidth="1"/>
    <col min="7440" max="7440" width="13.7109375" style="483" bestFit="1" customWidth="1"/>
    <col min="7441" max="7441" width="12.28515625" style="483" bestFit="1" customWidth="1"/>
    <col min="7442" max="7677" width="11.42578125" style="483"/>
    <col min="7678" max="7678" width="8.140625" style="483" customWidth="1"/>
    <col min="7679" max="7679" width="13.140625" style="483" customWidth="1"/>
    <col min="7680" max="7680" width="13.7109375" style="483" customWidth="1"/>
    <col min="7681" max="7681" width="31.42578125" style="483" customWidth="1"/>
    <col min="7682" max="7682" width="8.7109375" style="483" customWidth="1"/>
    <col min="7683" max="7683" width="11.85546875" style="483" customWidth="1"/>
    <col min="7684" max="7684" width="17.7109375" style="483" customWidth="1"/>
    <col min="7685" max="7685" width="18.7109375" style="483" customWidth="1"/>
    <col min="7686" max="7686" width="14" style="483" customWidth="1"/>
    <col min="7687" max="7687" width="17.7109375" style="483" customWidth="1"/>
    <col min="7688" max="7688" width="13.28515625" style="483" customWidth="1"/>
    <col min="7689" max="7689" width="13.85546875" style="483" customWidth="1"/>
    <col min="7690" max="7690" width="15.140625" style="483" customWidth="1"/>
    <col min="7691" max="7691" width="14.28515625" style="483" customWidth="1"/>
    <col min="7692" max="7692" width="18.42578125" style="483" customWidth="1"/>
    <col min="7693" max="7693" width="15.140625" style="483" customWidth="1"/>
    <col min="7694" max="7694" width="20.5703125" style="483" customWidth="1"/>
    <col min="7695" max="7695" width="13.5703125" style="483" bestFit="1" customWidth="1"/>
    <col min="7696" max="7696" width="13.7109375" style="483" bestFit="1" customWidth="1"/>
    <col min="7697" max="7697" width="12.28515625" style="483" bestFit="1" customWidth="1"/>
    <col min="7698" max="7933" width="11.42578125" style="483"/>
    <col min="7934" max="7934" width="8.140625" style="483" customWidth="1"/>
    <col min="7935" max="7935" width="13.140625" style="483" customWidth="1"/>
    <col min="7936" max="7936" width="13.7109375" style="483" customWidth="1"/>
    <col min="7937" max="7937" width="31.42578125" style="483" customWidth="1"/>
    <col min="7938" max="7938" width="8.7109375" style="483" customWidth="1"/>
    <col min="7939" max="7939" width="11.85546875" style="483" customWidth="1"/>
    <col min="7940" max="7940" width="17.7109375" style="483" customWidth="1"/>
    <col min="7941" max="7941" width="18.7109375" style="483" customWidth="1"/>
    <col min="7942" max="7942" width="14" style="483" customWidth="1"/>
    <col min="7943" max="7943" width="17.7109375" style="483" customWidth="1"/>
    <col min="7944" max="7944" width="13.28515625" style="483" customWidth="1"/>
    <col min="7945" max="7945" width="13.85546875" style="483" customWidth="1"/>
    <col min="7946" max="7946" width="15.140625" style="483" customWidth="1"/>
    <col min="7947" max="7947" width="14.28515625" style="483" customWidth="1"/>
    <col min="7948" max="7948" width="18.42578125" style="483" customWidth="1"/>
    <col min="7949" max="7949" width="15.140625" style="483" customWidth="1"/>
    <col min="7950" max="7950" width="20.5703125" style="483" customWidth="1"/>
    <col min="7951" max="7951" width="13.5703125" style="483" bestFit="1" customWidth="1"/>
    <col min="7952" max="7952" width="13.7109375" style="483" bestFit="1" customWidth="1"/>
    <col min="7953" max="7953" width="12.28515625" style="483" bestFit="1" customWidth="1"/>
    <col min="7954" max="8189" width="11.42578125" style="483"/>
    <col min="8190" max="8190" width="8.140625" style="483" customWidth="1"/>
    <col min="8191" max="8191" width="13.140625" style="483" customWidth="1"/>
    <col min="8192" max="8192" width="13.7109375" style="483" customWidth="1"/>
    <col min="8193" max="8193" width="31.42578125" style="483" customWidth="1"/>
    <col min="8194" max="8194" width="8.7109375" style="483" customWidth="1"/>
    <col min="8195" max="8195" width="11.85546875" style="483" customWidth="1"/>
    <col min="8196" max="8196" width="17.7109375" style="483" customWidth="1"/>
    <col min="8197" max="8197" width="18.7109375" style="483" customWidth="1"/>
    <col min="8198" max="8198" width="14" style="483" customWidth="1"/>
    <col min="8199" max="8199" width="17.7109375" style="483" customWidth="1"/>
    <col min="8200" max="8200" width="13.28515625" style="483" customWidth="1"/>
    <col min="8201" max="8201" width="13.85546875" style="483" customWidth="1"/>
    <col min="8202" max="8202" width="15.140625" style="483" customWidth="1"/>
    <col min="8203" max="8203" width="14.28515625" style="483" customWidth="1"/>
    <col min="8204" max="8204" width="18.42578125" style="483" customWidth="1"/>
    <col min="8205" max="8205" width="15.140625" style="483" customWidth="1"/>
    <col min="8206" max="8206" width="20.5703125" style="483" customWidth="1"/>
    <col min="8207" max="8207" width="13.5703125" style="483" bestFit="1" customWidth="1"/>
    <col min="8208" max="8208" width="13.7109375" style="483" bestFit="1" customWidth="1"/>
    <col min="8209" max="8209" width="12.28515625" style="483" bestFit="1" customWidth="1"/>
    <col min="8210" max="8445" width="11.42578125" style="483"/>
    <col min="8446" max="8446" width="8.140625" style="483" customWidth="1"/>
    <col min="8447" max="8447" width="13.140625" style="483" customWidth="1"/>
    <col min="8448" max="8448" width="13.7109375" style="483" customWidth="1"/>
    <col min="8449" max="8449" width="31.42578125" style="483" customWidth="1"/>
    <col min="8450" max="8450" width="8.7109375" style="483" customWidth="1"/>
    <col min="8451" max="8451" width="11.85546875" style="483" customWidth="1"/>
    <col min="8452" max="8452" width="17.7109375" style="483" customWidth="1"/>
    <col min="8453" max="8453" width="18.7109375" style="483" customWidth="1"/>
    <col min="8454" max="8454" width="14" style="483" customWidth="1"/>
    <col min="8455" max="8455" width="17.7109375" style="483" customWidth="1"/>
    <col min="8456" max="8456" width="13.28515625" style="483" customWidth="1"/>
    <col min="8457" max="8457" width="13.85546875" style="483" customWidth="1"/>
    <col min="8458" max="8458" width="15.140625" style="483" customWidth="1"/>
    <col min="8459" max="8459" width="14.28515625" style="483" customWidth="1"/>
    <col min="8460" max="8460" width="18.42578125" style="483" customWidth="1"/>
    <col min="8461" max="8461" width="15.140625" style="483" customWidth="1"/>
    <col min="8462" max="8462" width="20.5703125" style="483" customWidth="1"/>
    <col min="8463" max="8463" width="13.5703125" style="483" bestFit="1" customWidth="1"/>
    <col min="8464" max="8464" width="13.7109375" style="483" bestFit="1" customWidth="1"/>
    <col min="8465" max="8465" width="12.28515625" style="483" bestFit="1" customWidth="1"/>
    <col min="8466" max="8701" width="11.42578125" style="483"/>
    <col min="8702" max="8702" width="8.140625" style="483" customWidth="1"/>
    <col min="8703" max="8703" width="13.140625" style="483" customWidth="1"/>
    <col min="8704" max="8704" width="13.7109375" style="483" customWidth="1"/>
    <col min="8705" max="8705" width="31.42578125" style="483" customWidth="1"/>
    <col min="8706" max="8706" width="8.7109375" style="483" customWidth="1"/>
    <col min="8707" max="8707" width="11.85546875" style="483" customWidth="1"/>
    <col min="8708" max="8708" width="17.7109375" style="483" customWidth="1"/>
    <col min="8709" max="8709" width="18.7109375" style="483" customWidth="1"/>
    <col min="8710" max="8710" width="14" style="483" customWidth="1"/>
    <col min="8711" max="8711" width="17.7109375" style="483" customWidth="1"/>
    <col min="8712" max="8712" width="13.28515625" style="483" customWidth="1"/>
    <col min="8713" max="8713" width="13.85546875" style="483" customWidth="1"/>
    <col min="8714" max="8714" width="15.140625" style="483" customWidth="1"/>
    <col min="8715" max="8715" width="14.28515625" style="483" customWidth="1"/>
    <col min="8716" max="8716" width="18.42578125" style="483" customWidth="1"/>
    <col min="8717" max="8717" width="15.140625" style="483" customWidth="1"/>
    <col min="8718" max="8718" width="20.5703125" style="483" customWidth="1"/>
    <col min="8719" max="8719" width="13.5703125" style="483" bestFit="1" customWidth="1"/>
    <col min="8720" max="8720" width="13.7109375" style="483" bestFit="1" customWidth="1"/>
    <col min="8721" max="8721" width="12.28515625" style="483" bestFit="1" customWidth="1"/>
    <col min="8722" max="8957" width="11.42578125" style="483"/>
    <col min="8958" max="8958" width="8.140625" style="483" customWidth="1"/>
    <col min="8959" max="8959" width="13.140625" style="483" customWidth="1"/>
    <col min="8960" max="8960" width="13.7109375" style="483" customWidth="1"/>
    <col min="8961" max="8961" width="31.42578125" style="483" customWidth="1"/>
    <col min="8962" max="8962" width="8.7109375" style="483" customWidth="1"/>
    <col min="8963" max="8963" width="11.85546875" style="483" customWidth="1"/>
    <col min="8964" max="8964" width="17.7109375" style="483" customWidth="1"/>
    <col min="8965" max="8965" width="18.7109375" style="483" customWidth="1"/>
    <col min="8966" max="8966" width="14" style="483" customWidth="1"/>
    <col min="8967" max="8967" width="17.7109375" style="483" customWidth="1"/>
    <col min="8968" max="8968" width="13.28515625" style="483" customWidth="1"/>
    <col min="8969" max="8969" width="13.85546875" style="483" customWidth="1"/>
    <col min="8970" max="8970" width="15.140625" style="483" customWidth="1"/>
    <col min="8971" max="8971" width="14.28515625" style="483" customWidth="1"/>
    <col min="8972" max="8972" width="18.42578125" style="483" customWidth="1"/>
    <col min="8973" max="8973" width="15.140625" style="483" customWidth="1"/>
    <col min="8974" max="8974" width="20.5703125" style="483" customWidth="1"/>
    <col min="8975" max="8975" width="13.5703125" style="483" bestFit="1" customWidth="1"/>
    <col min="8976" max="8976" width="13.7109375" style="483" bestFit="1" customWidth="1"/>
    <col min="8977" max="8977" width="12.28515625" style="483" bestFit="1" customWidth="1"/>
    <col min="8978" max="9213" width="11.42578125" style="483"/>
    <col min="9214" max="9214" width="8.140625" style="483" customWidth="1"/>
    <col min="9215" max="9215" width="13.140625" style="483" customWidth="1"/>
    <col min="9216" max="9216" width="13.7109375" style="483" customWidth="1"/>
    <col min="9217" max="9217" width="31.42578125" style="483" customWidth="1"/>
    <col min="9218" max="9218" width="8.7109375" style="483" customWidth="1"/>
    <col min="9219" max="9219" width="11.85546875" style="483" customWidth="1"/>
    <col min="9220" max="9220" width="17.7109375" style="483" customWidth="1"/>
    <col min="9221" max="9221" width="18.7109375" style="483" customWidth="1"/>
    <col min="9222" max="9222" width="14" style="483" customWidth="1"/>
    <col min="9223" max="9223" width="17.7109375" style="483" customWidth="1"/>
    <col min="9224" max="9224" width="13.28515625" style="483" customWidth="1"/>
    <col min="9225" max="9225" width="13.85546875" style="483" customWidth="1"/>
    <col min="9226" max="9226" width="15.140625" style="483" customWidth="1"/>
    <col min="9227" max="9227" width="14.28515625" style="483" customWidth="1"/>
    <col min="9228" max="9228" width="18.42578125" style="483" customWidth="1"/>
    <col min="9229" max="9229" width="15.140625" style="483" customWidth="1"/>
    <col min="9230" max="9230" width="20.5703125" style="483" customWidth="1"/>
    <col min="9231" max="9231" width="13.5703125" style="483" bestFit="1" customWidth="1"/>
    <col min="9232" max="9232" width="13.7109375" style="483" bestFit="1" customWidth="1"/>
    <col min="9233" max="9233" width="12.28515625" style="483" bestFit="1" customWidth="1"/>
    <col min="9234" max="9469" width="11.42578125" style="483"/>
    <col min="9470" max="9470" width="8.140625" style="483" customWidth="1"/>
    <col min="9471" max="9471" width="13.140625" style="483" customWidth="1"/>
    <col min="9472" max="9472" width="13.7109375" style="483" customWidth="1"/>
    <col min="9473" max="9473" width="31.42578125" style="483" customWidth="1"/>
    <col min="9474" max="9474" width="8.7109375" style="483" customWidth="1"/>
    <col min="9475" max="9475" width="11.85546875" style="483" customWidth="1"/>
    <col min="9476" max="9476" width="17.7109375" style="483" customWidth="1"/>
    <col min="9477" max="9477" width="18.7109375" style="483" customWidth="1"/>
    <col min="9478" max="9478" width="14" style="483" customWidth="1"/>
    <col min="9479" max="9479" width="17.7109375" style="483" customWidth="1"/>
    <col min="9480" max="9480" width="13.28515625" style="483" customWidth="1"/>
    <col min="9481" max="9481" width="13.85546875" style="483" customWidth="1"/>
    <col min="9482" max="9482" width="15.140625" style="483" customWidth="1"/>
    <col min="9483" max="9483" width="14.28515625" style="483" customWidth="1"/>
    <col min="9484" max="9484" width="18.42578125" style="483" customWidth="1"/>
    <col min="9485" max="9485" width="15.140625" style="483" customWidth="1"/>
    <col min="9486" max="9486" width="20.5703125" style="483" customWidth="1"/>
    <col min="9487" max="9487" width="13.5703125" style="483" bestFit="1" customWidth="1"/>
    <col min="9488" max="9488" width="13.7109375" style="483" bestFit="1" customWidth="1"/>
    <col min="9489" max="9489" width="12.28515625" style="483" bestFit="1" customWidth="1"/>
    <col min="9490" max="9725" width="11.42578125" style="483"/>
    <col min="9726" max="9726" width="8.140625" style="483" customWidth="1"/>
    <col min="9727" max="9727" width="13.140625" style="483" customWidth="1"/>
    <col min="9728" max="9728" width="13.7109375" style="483" customWidth="1"/>
    <col min="9729" max="9729" width="31.42578125" style="483" customWidth="1"/>
    <col min="9730" max="9730" width="8.7109375" style="483" customWidth="1"/>
    <col min="9731" max="9731" width="11.85546875" style="483" customWidth="1"/>
    <col min="9732" max="9732" width="17.7109375" style="483" customWidth="1"/>
    <col min="9733" max="9733" width="18.7109375" style="483" customWidth="1"/>
    <col min="9734" max="9734" width="14" style="483" customWidth="1"/>
    <col min="9735" max="9735" width="17.7109375" style="483" customWidth="1"/>
    <col min="9736" max="9736" width="13.28515625" style="483" customWidth="1"/>
    <col min="9737" max="9737" width="13.85546875" style="483" customWidth="1"/>
    <col min="9738" max="9738" width="15.140625" style="483" customWidth="1"/>
    <col min="9739" max="9739" width="14.28515625" style="483" customWidth="1"/>
    <col min="9740" max="9740" width="18.42578125" style="483" customWidth="1"/>
    <col min="9741" max="9741" width="15.140625" style="483" customWidth="1"/>
    <col min="9742" max="9742" width="20.5703125" style="483" customWidth="1"/>
    <col min="9743" max="9743" width="13.5703125" style="483" bestFit="1" customWidth="1"/>
    <col min="9744" max="9744" width="13.7109375" style="483" bestFit="1" customWidth="1"/>
    <col min="9745" max="9745" width="12.28515625" style="483" bestFit="1" customWidth="1"/>
    <col min="9746" max="9981" width="11.42578125" style="483"/>
    <col min="9982" max="9982" width="8.140625" style="483" customWidth="1"/>
    <col min="9983" max="9983" width="13.140625" style="483" customWidth="1"/>
    <col min="9984" max="9984" width="13.7109375" style="483" customWidth="1"/>
    <col min="9985" max="9985" width="31.42578125" style="483" customWidth="1"/>
    <col min="9986" max="9986" width="8.7109375" style="483" customWidth="1"/>
    <col min="9987" max="9987" width="11.85546875" style="483" customWidth="1"/>
    <col min="9988" max="9988" width="17.7109375" style="483" customWidth="1"/>
    <col min="9989" max="9989" width="18.7109375" style="483" customWidth="1"/>
    <col min="9990" max="9990" width="14" style="483" customWidth="1"/>
    <col min="9991" max="9991" width="17.7109375" style="483" customWidth="1"/>
    <col min="9992" max="9992" width="13.28515625" style="483" customWidth="1"/>
    <col min="9993" max="9993" width="13.85546875" style="483" customWidth="1"/>
    <col min="9994" max="9994" width="15.140625" style="483" customWidth="1"/>
    <col min="9995" max="9995" width="14.28515625" style="483" customWidth="1"/>
    <col min="9996" max="9996" width="18.42578125" style="483" customWidth="1"/>
    <col min="9997" max="9997" width="15.140625" style="483" customWidth="1"/>
    <col min="9998" max="9998" width="20.5703125" style="483" customWidth="1"/>
    <col min="9999" max="9999" width="13.5703125" style="483" bestFit="1" customWidth="1"/>
    <col min="10000" max="10000" width="13.7109375" style="483" bestFit="1" customWidth="1"/>
    <col min="10001" max="10001" width="12.28515625" style="483" bestFit="1" customWidth="1"/>
    <col min="10002" max="10237" width="11.42578125" style="483"/>
    <col min="10238" max="10238" width="8.140625" style="483" customWidth="1"/>
    <col min="10239" max="10239" width="13.140625" style="483" customWidth="1"/>
    <col min="10240" max="10240" width="13.7109375" style="483" customWidth="1"/>
    <col min="10241" max="10241" width="31.42578125" style="483" customWidth="1"/>
    <col min="10242" max="10242" width="8.7109375" style="483" customWidth="1"/>
    <col min="10243" max="10243" width="11.85546875" style="483" customWidth="1"/>
    <col min="10244" max="10244" width="17.7109375" style="483" customWidth="1"/>
    <col min="10245" max="10245" width="18.7109375" style="483" customWidth="1"/>
    <col min="10246" max="10246" width="14" style="483" customWidth="1"/>
    <col min="10247" max="10247" width="17.7109375" style="483" customWidth="1"/>
    <col min="10248" max="10248" width="13.28515625" style="483" customWidth="1"/>
    <col min="10249" max="10249" width="13.85546875" style="483" customWidth="1"/>
    <col min="10250" max="10250" width="15.140625" style="483" customWidth="1"/>
    <col min="10251" max="10251" width="14.28515625" style="483" customWidth="1"/>
    <col min="10252" max="10252" width="18.42578125" style="483" customWidth="1"/>
    <col min="10253" max="10253" width="15.140625" style="483" customWidth="1"/>
    <col min="10254" max="10254" width="20.5703125" style="483" customWidth="1"/>
    <col min="10255" max="10255" width="13.5703125" style="483" bestFit="1" customWidth="1"/>
    <col min="10256" max="10256" width="13.7109375" style="483" bestFit="1" customWidth="1"/>
    <col min="10257" max="10257" width="12.28515625" style="483" bestFit="1" customWidth="1"/>
    <col min="10258" max="10493" width="11.42578125" style="483"/>
    <col min="10494" max="10494" width="8.140625" style="483" customWidth="1"/>
    <col min="10495" max="10495" width="13.140625" style="483" customWidth="1"/>
    <col min="10496" max="10496" width="13.7109375" style="483" customWidth="1"/>
    <col min="10497" max="10497" width="31.42578125" style="483" customWidth="1"/>
    <col min="10498" max="10498" width="8.7109375" style="483" customWidth="1"/>
    <col min="10499" max="10499" width="11.85546875" style="483" customWidth="1"/>
    <col min="10500" max="10500" width="17.7109375" style="483" customWidth="1"/>
    <col min="10501" max="10501" width="18.7109375" style="483" customWidth="1"/>
    <col min="10502" max="10502" width="14" style="483" customWidth="1"/>
    <col min="10503" max="10503" width="17.7109375" style="483" customWidth="1"/>
    <col min="10504" max="10504" width="13.28515625" style="483" customWidth="1"/>
    <col min="10505" max="10505" width="13.85546875" style="483" customWidth="1"/>
    <col min="10506" max="10506" width="15.140625" style="483" customWidth="1"/>
    <col min="10507" max="10507" width="14.28515625" style="483" customWidth="1"/>
    <col min="10508" max="10508" width="18.42578125" style="483" customWidth="1"/>
    <col min="10509" max="10509" width="15.140625" style="483" customWidth="1"/>
    <col min="10510" max="10510" width="20.5703125" style="483" customWidth="1"/>
    <col min="10511" max="10511" width="13.5703125" style="483" bestFit="1" customWidth="1"/>
    <col min="10512" max="10512" width="13.7109375" style="483" bestFit="1" customWidth="1"/>
    <col min="10513" max="10513" width="12.28515625" style="483" bestFit="1" customWidth="1"/>
    <col min="10514" max="10749" width="11.42578125" style="483"/>
    <col min="10750" max="10750" width="8.140625" style="483" customWidth="1"/>
    <col min="10751" max="10751" width="13.140625" style="483" customWidth="1"/>
    <col min="10752" max="10752" width="13.7109375" style="483" customWidth="1"/>
    <col min="10753" max="10753" width="31.42578125" style="483" customWidth="1"/>
    <col min="10754" max="10754" width="8.7109375" style="483" customWidth="1"/>
    <col min="10755" max="10755" width="11.85546875" style="483" customWidth="1"/>
    <col min="10756" max="10756" width="17.7109375" style="483" customWidth="1"/>
    <col min="10757" max="10757" width="18.7109375" style="483" customWidth="1"/>
    <col min="10758" max="10758" width="14" style="483" customWidth="1"/>
    <col min="10759" max="10759" width="17.7109375" style="483" customWidth="1"/>
    <col min="10760" max="10760" width="13.28515625" style="483" customWidth="1"/>
    <col min="10761" max="10761" width="13.85546875" style="483" customWidth="1"/>
    <col min="10762" max="10762" width="15.140625" style="483" customWidth="1"/>
    <col min="10763" max="10763" width="14.28515625" style="483" customWidth="1"/>
    <col min="10764" max="10764" width="18.42578125" style="483" customWidth="1"/>
    <col min="10765" max="10765" width="15.140625" style="483" customWidth="1"/>
    <col min="10766" max="10766" width="20.5703125" style="483" customWidth="1"/>
    <col min="10767" max="10767" width="13.5703125" style="483" bestFit="1" customWidth="1"/>
    <col min="10768" max="10768" width="13.7109375" style="483" bestFit="1" customWidth="1"/>
    <col min="10769" max="10769" width="12.28515625" style="483" bestFit="1" customWidth="1"/>
    <col min="10770" max="11005" width="11.42578125" style="483"/>
    <col min="11006" max="11006" width="8.140625" style="483" customWidth="1"/>
    <col min="11007" max="11007" width="13.140625" style="483" customWidth="1"/>
    <col min="11008" max="11008" width="13.7109375" style="483" customWidth="1"/>
    <col min="11009" max="11009" width="31.42578125" style="483" customWidth="1"/>
    <col min="11010" max="11010" width="8.7109375" style="483" customWidth="1"/>
    <col min="11011" max="11011" width="11.85546875" style="483" customWidth="1"/>
    <col min="11012" max="11012" width="17.7109375" style="483" customWidth="1"/>
    <col min="11013" max="11013" width="18.7109375" style="483" customWidth="1"/>
    <col min="11014" max="11014" width="14" style="483" customWidth="1"/>
    <col min="11015" max="11015" width="17.7109375" style="483" customWidth="1"/>
    <col min="11016" max="11016" width="13.28515625" style="483" customWidth="1"/>
    <col min="11017" max="11017" width="13.85546875" style="483" customWidth="1"/>
    <col min="11018" max="11018" width="15.140625" style="483" customWidth="1"/>
    <col min="11019" max="11019" width="14.28515625" style="483" customWidth="1"/>
    <col min="11020" max="11020" width="18.42578125" style="483" customWidth="1"/>
    <col min="11021" max="11021" width="15.140625" style="483" customWidth="1"/>
    <col min="11022" max="11022" width="20.5703125" style="483" customWidth="1"/>
    <col min="11023" max="11023" width="13.5703125" style="483" bestFit="1" customWidth="1"/>
    <col min="11024" max="11024" width="13.7109375" style="483" bestFit="1" customWidth="1"/>
    <col min="11025" max="11025" width="12.28515625" style="483" bestFit="1" customWidth="1"/>
    <col min="11026" max="11261" width="11.42578125" style="483"/>
    <col min="11262" max="11262" width="8.140625" style="483" customWidth="1"/>
    <col min="11263" max="11263" width="13.140625" style="483" customWidth="1"/>
    <col min="11264" max="11264" width="13.7109375" style="483" customWidth="1"/>
    <col min="11265" max="11265" width="31.42578125" style="483" customWidth="1"/>
    <col min="11266" max="11266" width="8.7109375" style="483" customWidth="1"/>
    <col min="11267" max="11267" width="11.85546875" style="483" customWidth="1"/>
    <col min="11268" max="11268" width="17.7109375" style="483" customWidth="1"/>
    <col min="11269" max="11269" width="18.7109375" style="483" customWidth="1"/>
    <col min="11270" max="11270" width="14" style="483" customWidth="1"/>
    <col min="11271" max="11271" width="17.7109375" style="483" customWidth="1"/>
    <col min="11272" max="11272" width="13.28515625" style="483" customWidth="1"/>
    <col min="11273" max="11273" width="13.85546875" style="483" customWidth="1"/>
    <col min="11274" max="11274" width="15.140625" style="483" customWidth="1"/>
    <col min="11275" max="11275" width="14.28515625" style="483" customWidth="1"/>
    <col min="11276" max="11276" width="18.42578125" style="483" customWidth="1"/>
    <col min="11277" max="11277" width="15.140625" style="483" customWidth="1"/>
    <col min="11278" max="11278" width="20.5703125" style="483" customWidth="1"/>
    <col min="11279" max="11279" width="13.5703125" style="483" bestFit="1" customWidth="1"/>
    <col min="11280" max="11280" width="13.7109375" style="483" bestFit="1" customWidth="1"/>
    <col min="11281" max="11281" width="12.28515625" style="483" bestFit="1" customWidth="1"/>
    <col min="11282" max="11517" width="11.42578125" style="483"/>
    <col min="11518" max="11518" width="8.140625" style="483" customWidth="1"/>
    <col min="11519" max="11519" width="13.140625" style="483" customWidth="1"/>
    <col min="11520" max="11520" width="13.7109375" style="483" customWidth="1"/>
    <col min="11521" max="11521" width="31.42578125" style="483" customWidth="1"/>
    <col min="11522" max="11522" width="8.7109375" style="483" customWidth="1"/>
    <col min="11523" max="11523" width="11.85546875" style="483" customWidth="1"/>
    <col min="11524" max="11524" width="17.7109375" style="483" customWidth="1"/>
    <col min="11525" max="11525" width="18.7109375" style="483" customWidth="1"/>
    <col min="11526" max="11526" width="14" style="483" customWidth="1"/>
    <col min="11527" max="11527" width="17.7109375" style="483" customWidth="1"/>
    <col min="11528" max="11528" width="13.28515625" style="483" customWidth="1"/>
    <col min="11529" max="11529" width="13.85546875" style="483" customWidth="1"/>
    <col min="11530" max="11530" width="15.140625" style="483" customWidth="1"/>
    <col min="11531" max="11531" width="14.28515625" style="483" customWidth="1"/>
    <col min="11532" max="11532" width="18.42578125" style="483" customWidth="1"/>
    <col min="11533" max="11533" width="15.140625" style="483" customWidth="1"/>
    <col min="11534" max="11534" width="20.5703125" style="483" customWidth="1"/>
    <col min="11535" max="11535" width="13.5703125" style="483" bestFit="1" customWidth="1"/>
    <col min="11536" max="11536" width="13.7109375" style="483" bestFit="1" customWidth="1"/>
    <col min="11537" max="11537" width="12.28515625" style="483" bestFit="1" customWidth="1"/>
    <col min="11538" max="11773" width="11.42578125" style="483"/>
    <col min="11774" max="11774" width="8.140625" style="483" customWidth="1"/>
    <col min="11775" max="11775" width="13.140625" style="483" customWidth="1"/>
    <col min="11776" max="11776" width="13.7109375" style="483" customWidth="1"/>
    <col min="11777" max="11777" width="31.42578125" style="483" customWidth="1"/>
    <col min="11778" max="11778" width="8.7109375" style="483" customWidth="1"/>
    <col min="11779" max="11779" width="11.85546875" style="483" customWidth="1"/>
    <col min="11780" max="11780" width="17.7109375" style="483" customWidth="1"/>
    <col min="11781" max="11781" width="18.7109375" style="483" customWidth="1"/>
    <col min="11782" max="11782" width="14" style="483" customWidth="1"/>
    <col min="11783" max="11783" width="17.7109375" style="483" customWidth="1"/>
    <col min="11784" max="11784" width="13.28515625" style="483" customWidth="1"/>
    <col min="11785" max="11785" width="13.85546875" style="483" customWidth="1"/>
    <col min="11786" max="11786" width="15.140625" style="483" customWidth="1"/>
    <col min="11787" max="11787" width="14.28515625" style="483" customWidth="1"/>
    <col min="11788" max="11788" width="18.42578125" style="483" customWidth="1"/>
    <col min="11789" max="11789" width="15.140625" style="483" customWidth="1"/>
    <col min="11790" max="11790" width="20.5703125" style="483" customWidth="1"/>
    <col min="11791" max="11791" width="13.5703125" style="483" bestFit="1" customWidth="1"/>
    <col min="11792" max="11792" width="13.7109375" style="483" bestFit="1" customWidth="1"/>
    <col min="11793" max="11793" width="12.28515625" style="483" bestFit="1" customWidth="1"/>
    <col min="11794" max="12029" width="11.42578125" style="483"/>
    <col min="12030" max="12030" width="8.140625" style="483" customWidth="1"/>
    <col min="12031" max="12031" width="13.140625" style="483" customWidth="1"/>
    <col min="12032" max="12032" width="13.7109375" style="483" customWidth="1"/>
    <col min="12033" max="12033" width="31.42578125" style="483" customWidth="1"/>
    <col min="12034" max="12034" width="8.7109375" style="483" customWidth="1"/>
    <col min="12035" max="12035" width="11.85546875" style="483" customWidth="1"/>
    <col min="12036" max="12036" width="17.7109375" style="483" customWidth="1"/>
    <col min="12037" max="12037" width="18.7109375" style="483" customWidth="1"/>
    <col min="12038" max="12038" width="14" style="483" customWidth="1"/>
    <col min="12039" max="12039" width="17.7109375" style="483" customWidth="1"/>
    <col min="12040" max="12040" width="13.28515625" style="483" customWidth="1"/>
    <col min="12041" max="12041" width="13.85546875" style="483" customWidth="1"/>
    <col min="12042" max="12042" width="15.140625" style="483" customWidth="1"/>
    <col min="12043" max="12043" width="14.28515625" style="483" customWidth="1"/>
    <col min="12044" max="12044" width="18.42578125" style="483" customWidth="1"/>
    <col min="12045" max="12045" width="15.140625" style="483" customWidth="1"/>
    <col min="12046" max="12046" width="20.5703125" style="483" customWidth="1"/>
    <col min="12047" max="12047" width="13.5703125" style="483" bestFit="1" customWidth="1"/>
    <col min="12048" max="12048" width="13.7109375" style="483" bestFit="1" customWidth="1"/>
    <col min="12049" max="12049" width="12.28515625" style="483" bestFit="1" customWidth="1"/>
    <col min="12050" max="12285" width="11.42578125" style="483"/>
    <col min="12286" max="12286" width="8.140625" style="483" customWidth="1"/>
    <col min="12287" max="12287" width="13.140625" style="483" customWidth="1"/>
    <col min="12288" max="12288" width="13.7109375" style="483" customWidth="1"/>
    <col min="12289" max="12289" width="31.42578125" style="483" customWidth="1"/>
    <col min="12290" max="12290" width="8.7109375" style="483" customWidth="1"/>
    <col min="12291" max="12291" width="11.85546875" style="483" customWidth="1"/>
    <col min="12292" max="12292" width="17.7109375" style="483" customWidth="1"/>
    <col min="12293" max="12293" width="18.7109375" style="483" customWidth="1"/>
    <col min="12294" max="12294" width="14" style="483" customWidth="1"/>
    <col min="12295" max="12295" width="17.7109375" style="483" customWidth="1"/>
    <col min="12296" max="12296" width="13.28515625" style="483" customWidth="1"/>
    <col min="12297" max="12297" width="13.85546875" style="483" customWidth="1"/>
    <col min="12298" max="12298" width="15.140625" style="483" customWidth="1"/>
    <col min="12299" max="12299" width="14.28515625" style="483" customWidth="1"/>
    <col min="12300" max="12300" width="18.42578125" style="483" customWidth="1"/>
    <col min="12301" max="12301" width="15.140625" style="483" customWidth="1"/>
    <col min="12302" max="12302" width="20.5703125" style="483" customWidth="1"/>
    <col min="12303" max="12303" width="13.5703125" style="483" bestFit="1" customWidth="1"/>
    <col min="12304" max="12304" width="13.7109375" style="483" bestFit="1" customWidth="1"/>
    <col min="12305" max="12305" width="12.28515625" style="483" bestFit="1" customWidth="1"/>
    <col min="12306" max="12541" width="11.42578125" style="483"/>
    <col min="12542" max="12542" width="8.140625" style="483" customWidth="1"/>
    <col min="12543" max="12543" width="13.140625" style="483" customWidth="1"/>
    <col min="12544" max="12544" width="13.7109375" style="483" customWidth="1"/>
    <col min="12545" max="12545" width="31.42578125" style="483" customWidth="1"/>
    <col min="12546" max="12546" width="8.7109375" style="483" customWidth="1"/>
    <col min="12547" max="12547" width="11.85546875" style="483" customWidth="1"/>
    <col min="12548" max="12548" width="17.7109375" style="483" customWidth="1"/>
    <col min="12549" max="12549" width="18.7109375" style="483" customWidth="1"/>
    <col min="12550" max="12550" width="14" style="483" customWidth="1"/>
    <col min="12551" max="12551" width="17.7109375" style="483" customWidth="1"/>
    <col min="12552" max="12552" width="13.28515625" style="483" customWidth="1"/>
    <col min="12553" max="12553" width="13.85546875" style="483" customWidth="1"/>
    <col min="12554" max="12554" width="15.140625" style="483" customWidth="1"/>
    <col min="12555" max="12555" width="14.28515625" style="483" customWidth="1"/>
    <col min="12556" max="12556" width="18.42578125" style="483" customWidth="1"/>
    <col min="12557" max="12557" width="15.140625" style="483" customWidth="1"/>
    <col min="12558" max="12558" width="20.5703125" style="483" customWidth="1"/>
    <col min="12559" max="12559" width="13.5703125" style="483" bestFit="1" customWidth="1"/>
    <col min="12560" max="12560" width="13.7109375" style="483" bestFit="1" customWidth="1"/>
    <col min="12561" max="12561" width="12.28515625" style="483" bestFit="1" customWidth="1"/>
    <col min="12562" max="12797" width="11.42578125" style="483"/>
    <col min="12798" max="12798" width="8.140625" style="483" customWidth="1"/>
    <col min="12799" max="12799" width="13.140625" style="483" customWidth="1"/>
    <col min="12800" max="12800" width="13.7109375" style="483" customWidth="1"/>
    <col min="12801" max="12801" width="31.42578125" style="483" customWidth="1"/>
    <col min="12802" max="12802" width="8.7109375" style="483" customWidth="1"/>
    <col min="12803" max="12803" width="11.85546875" style="483" customWidth="1"/>
    <col min="12804" max="12804" width="17.7109375" style="483" customWidth="1"/>
    <col min="12805" max="12805" width="18.7109375" style="483" customWidth="1"/>
    <col min="12806" max="12806" width="14" style="483" customWidth="1"/>
    <col min="12807" max="12807" width="17.7109375" style="483" customWidth="1"/>
    <col min="12808" max="12808" width="13.28515625" style="483" customWidth="1"/>
    <col min="12809" max="12809" width="13.85546875" style="483" customWidth="1"/>
    <col min="12810" max="12810" width="15.140625" style="483" customWidth="1"/>
    <col min="12811" max="12811" width="14.28515625" style="483" customWidth="1"/>
    <col min="12812" max="12812" width="18.42578125" style="483" customWidth="1"/>
    <col min="12813" max="12813" width="15.140625" style="483" customWidth="1"/>
    <col min="12814" max="12814" width="20.5703125" style="483" customWidth="1"/>
    <col min="12815" max="12815" width="13.5703125" style="483" bestFit="1" customWidth="1"/>
    <col min="12816" max="12816" width="13.7109375" style="483" bestFit="1" customWidth="1"/>
    <col min="12817" max="12817" width="12.28515625" style="483" bestFit="1" customWidth="1"/>
    <col min="12818" max="13053" width="11.42578125" style="483"/>
    <col min="13054" max="13054" width="8.140625" style="483" customWidth="1"/>
    <col min="13055" max="13055" width="13.140625" style="483" customWidth="1"/>
    <col min="13056" max="13056" width="13.7109375" style="483" customWidth="1"/>
    <col min="13057" max="13057" width="31.42578125" style="483" customWidth="1"/>
    <col min="13058" max="13058" width="8.7109375" style="483" customWidth="1"/>
    <col min="13059" max="13059" width="11.85546875" style="483" customWidth="1"/>
    <col min="13060" max="13060" width="17.7109375" style="483" customWidth="1"/>
    <col min="13061" max="13061" width="18.7109375" style="483" customWidth="1"/>
    <col min="13062" max="13062" width="14" style="483" customWidth="1"/>
    <col min="13063" max="13063" width="17.7109375" style="483" customWidth="1"/>
    <col min="13064" max="13064" width="13.28515625" style="483" customWidth="1"/>
    <col min="13065" max="13065" width="13.85546875" style="483" customWidth="1"/>
    <col min="13066" max="13066" width="15.140625" style="483" customWidth="1"/>
    <col min="13067" max="13067" width="14.28515625" style="483" customWidth="1"/>
    <col min="13068" max="13068" width="18.42578125" style="483" customWidth="1"/>
    <col min="13069" max="13069" width="15.140625" style="483" customWidth="1"/>
    <col min="13070" max="13070" width="20.5703125" style="483" customWidth="1"/>
    <col min="13071" max="13071" width="13.5703125" style="483" bestFit="1" customWidth="1"/>
    <col min="13072" max="13072" width="13.7109375" style="483" bestFit="1" customWidth="1"/>
    <col min="13073" max="13073" width="12.28515625" style="483" bestFit="1" customWidth="1"/>
    <col min="13074" max="13309" width="11.42578125" style="483"/>
    <col min="13310" max="13310" width="8.140625" style="483" customWidth="1"/>
    <col min="13311" max="13311" width="13.140625" style="483" customWidth="1"/>
    <col min="13312" max="13312" width="13.7109375" style="483" customWidth="1"/>
    <col min="13313" max="13313" width="31.42578125" style="483" customWidth="1"/>
    <col min="13314" max="13314" width="8.7109375" style="483" customWidth="1"/>
    <col min="13315" max="13315" width="11.85546875" style="483" customWidth="1"/>
    <col min="13316" max="13316" width="17.7109375" style="483" customWidth="1"/>
    <col min="13317" max="13317" width="18.7109375" style="483" customWidth="1"/>
    <col min="13318" max="13318" width="14" style="483" customWidth="1"/>
    <col min="13319" max="13319" width="17.7109375" style="483" customWidth="1"/>
    <col min="13320" max="13320" width="13.28515625" style="483" customWidth="1"/>
    <col min="13321" max="13321" width="13.85546875" style="483" customWidth="1"/>
    <col min="13322" max="13322" width="15.140625" style="483" customWidth="1"/>
    <col min="13323" max="13323" width="14.28515625" style="483" customWidth="1"/>
    <col min="13324" max="13324" width="18.42578125" style="483" customWidth="1"/>
    <col min="13325" max="13325" width="15.140625" style="483" customWidth="1"/>
    <col min="13326" max="13326" width="20.5703125" style="483" customWidth="1"/>
    <col min="13327" max="13327" width="13.5703125" style="483" bestFit="1" customWidth="1"/>
    <col min="13328" max="13328" width="13.7109375" style="483" bestFit="1" customWidth="1"/>
    <col min="13329" max="13329" width="12.28515625" style="483" bestFit="1" customWidth="1"/>
    <col min="13330" max="13565" width="11.42578125" style="483"/>
    <col min="13566" max="13566" width="8.140625" style="483" customWidth="1"/>
    <col min="13567" max="13567" width="13.140625" style="483" customWidth="1"/>
    <col min="13568" max="13568" width="13.7109375" style="483" customWidth="1"/>
    <col min="13569" max="13569" width="31.42578125" style="483" customWidth="1"/>
    <col min="13570" max="13570" width="8.7109375" style="483" customWidth="1"/>
    <col min="13571" max="13571" width="11.85546875" style="483" customWidth="1"/>
    <col min="13572" max="13572" width="17.7109375" style="483" customWidth="1"/>
    <col min="13573" max="13573" width="18.7109375" style="483" customWidth="1"/>
    <col min="13574" max="13574" width="14" style="483" customWidth="1"/>
    <col min="13575" max="13575" width="17.7109375" style="483" customWidth="1"/>
    <col min="13576" max="13576" width="13.28515625" style="483" customWidth="1"/>
    <col min="13577" max="13577" width="13.85546875" style="483" customWidth="1"/>
    <col min="13578" max="13578" width="15.140625" style="483" customWidth="1"/>
    <col min="13579" max="13579" width="14.28515625" style="483" customWidth="1"/>
    <col min="13580" max="13580" width="18.42578125" style="483" customWidth="1"/>
    <col min="13581" max="13581" width="15.140625" style="483" customWidth="1"/>
    <col min="13582" max="13582" width="20.5703125" style="483" customWidth="1"/>
    <col min="13583" max="13583" width="13.5703125" style="483" bestFit="1" customWidth="1"/>
    <col min="13584" max="13584" width="13.7109375" style="483" bestFit="1" customWidth="1"/>
    <col min="13585" max="13585" width="12.28515625" style="483" bestFit="1" customWidth="1"/>
    <col min="13586" max="13821" width="11.42578125" style="483"/>
    <col min="13822" max="13822" width="8.140625" style="483" customWidth="1"/>
    <col min="13823" max="13823" width="13.140625" style="483" customWidth="1"/>
    <col min="13824" max="13824" width="13.7109375" style="483" customWidth="1"/>
    <col min="13825" max="13825" width="31.42578125" style="483" customWidth="1"/>
    <col min="13826" max="13826" width="8.7109375" style="483" customWidth="1"/>
    <col min="13827" max="13827" width="11.85546875" style="483" customWidth="1"/>
    <col min="13828" max="13828" width="17.7109375" style="483" customWidth="1"/>
    <col min="13829" max="13829" width="18.7109375" style="483" customWidth="1"/>
    <col min="13830" max="13830" width="14" style="483" customWidth="1"/>
    <col min="13831" max="13831" width="17.7109375" style="483" customWidth="1"/>
    <col min="13832" max="13832" width="13.28515625" style="483" customWidth="1"/>
    <col min="13833" max="13833" width="13.85546875" style="483" customWidth="1"/>
    <col min="13834" max="13834" width="15.140625" style="483" customWidth="1"/>
    <col min="13835" max="13835" width="14.28515625" style="483" customWidth="1"/>
    <col min="13836" max="13836" width="18.42578125" style="483" customWidth="1"/>
    <col min="13837" max="13837" width="15.140625" style="483" customWidth="1"/>
    <col min="13838" max="13838" width="20.5703125" style="483" customWidth="1"/>
    <col min="13839" max="13839" width="13.5703125" style="483" bestFit="1" customWidth="1"/>
    <col min="13840" max="13840" width="13.7109375" style="483" bestFit="1" customWidth="1"/>
    <col min="13841" max="13841" width="12.28515625" style="483" bestFit="1" customWidth="1"/>
    <col min="13842" max="14077" width="11.42578125" style="483"/>
    <col min="14078" max="14078" width="8.140625" style="483" customWidth="1"/>
    <col min="14079" max="14079" width="13.140625" style="483" customWidth="1"/>
    <col min="14080" max="14080" width="13.7109375" style="483" customWidth="1"/>
    <col min="14081" max="14081" width="31.42578125" style="483" customWidth="1"/>
    <col min="14082" max="14082" width="8.7109375" style="483" customWidth="1"/>
    <col min="14083" max="14083" width="11.85546875" style="483" customWidth="1"/>
    <col min="14084" max="14084" width="17.7109375" style="483" customWidth="1"/>
    <col min="14085" max="14085" width="18.7109375" style="483" customWidth="1"/>
    <col min="14086" max="14086" width="14" style="483" customWidth="1"/>
    <col min="14087" max="14087" width="17.7109375" style="483" customWidth="1"/>
    <col min="14088" max="14088" width="13.28515625" style="483" customWidth="1"/>
    <col min="14089" max="14089" width="13.85546875" style="483" customWidth="1"/>
    <col min="14090" max="14090" width="15.140625" style="483" customWidth="1"/>
    <col min="14091" max="14091" width="14.28515625" style="483" customWidth="1"/>
    <col min="14092" max="14092" width="18.42578125" style="483" customWidth="1"/>
    <col min="14093" max="14093" width="15.140625" style="483" customWidth="1"/>
    <col min="14094" max="14094" width="20.5703125" style="483" customWidth="1"/>
    <col min="14095" max="14095" width="13.5703125" style="483" bestFit="1" customWidth="1"/>
    <col min="14096" max="14096" width="13.7109375" style="483" bestFit="1" customWidth="1"/>
    <col min="14097" max="14097" width="12.28515625" style="483" bestFit="1" customWidth="1"/>
    <col min="14098" max="14333" width="11.42578125" style="483"/>
    <col min="14334" max="14334" width="8.140625" style="483" customWidth="1"/>
    <col min="14335" max="14335" width="13.140625" style="483" customWidth="1"/>
    <col min="14336" max="14336" width="13.7109375" style="483" customWidth="1"/>
    <col min="14337" max="14337" width="31.42578125" style="483" customWidth="1"/>
    <col min="14338" max="14338" width="8.7109375" style="483" customWidth="1"/>
    <col min="14339" max="14339" width="11.85546875" style="483" customWidth="1"/>
    <col min="14340" max="14340" width="17.7109375" style="483" customWidth="1"/>
    <col min="14341" max="14341" width="18.7109375" style="483" customWidth="1"/>
    <col min="14342" max="14342" width="14" style="483" customWidth="1"/>
    <col min="14343" max="14343" width="17.7109375" style="483" customWidth="1"/>
    <col min="14344" max="14344" width="13.28515625" style="483" customWidth="1"/>
    <col min="14345" max="14345" width="13.85546875" style="483" customWidth="1"/>
    <col min="14346" max="14346" width="15.140625" style="483" customWidth="1"/>
    <col min="14347" max="14347" width="14.28515625" style="483" customWidth="1"/>
    <col min="14348" max="14348" width="18.42578125" style="483" customWidth="1"/>
    <col min="14349" max="14349" width="15.140625" style="483" customWidth="1"/>
    <col min="14350" max="14350" width="20.5703125" style="483" customWidth="1"/>
    <col min="14351" max="14351" width="13.5703125" style="483" bestFit="1" customWidth="1"/>
    <col min="14352" max="14352" width="13.7109375" style="483" bestFit="1" customWidth="1"/>
    <col min="14353" max="14353" width="12.28515625" style="483" bestFit="1" customWidth="1"/>
    <col min="14354" max="14589" width="11.42578125" style="483"/>
    <col min="14590" max="14590" width="8.140625" style="483" customWidth="1"/>
    <col min="14591" max="14591" width="13.140625" style="483" customWidth="1"/>
    <col min="14592" max="14592" width="13.7109375" style="483" customWidth="1"/>
    <col min="14593" max="14593" width="31.42578125" style="483" customWidth="1"/>
    <col min="14594" max="14594" width="8.7109375" style="483" customWidth="1"/>
    <col min="14595" max="14595" width="11.85546875" style="483" customWidth="1"/>
    <col min="14596" max="14596" width="17.7109375" style="483" customWidth="1"/>
    <col min="14597" max="14597" width="18.7109375" style="483" customWidth="1"/>
    <col min="14598" max="14598" width="14" style="483" customWidth="1"/>
    <col min="14599" max="14599" width="17.7109375" style="483" customWidth="1"/>
    <col min="14600" max="14600" width="13.28515625" style="483" customWidth="1"/>
    <col min="14601" max="14601" width="13.85546875" style="483" customWidth="1"/>
    <col min="14602" max="14602" width="15.140625" style="483" customWidth="1"/>
    <col min="14603" max="14603" width="14.28515625" style="483" customWidth="1"/>
    <col min="14604" max="14604" width="18.42578125" style="483" customWidth="1"/>
    <col min="14605" max="14605" width="15.140625" style="483" customWidth="1"/>
    <col min="14606" max="14606" width="20.5703125" style="483" customWidth="1"/>
    <col min="14607" max="14607" width="13.5703125" style="483" bestFit="1" customWidth="1"/>
    <col min="14608" max="14608" width="13.7109375" style="483" bestFit="1" customWidth="1"/>
    <col min="14609" max="14609" width="12.28515625" style="483" bestFit="1" customWidth="1"/>
    <col min="14610" max="14845" width="11.42578125" style="483"/>
    <col min="14846" max="14846" width="8.140625" style="483" customWidth="1"/>
    <col min="14847" max="14847" width="13.140625" style="483" customWidth="1"/>
    <col min="14848" max="14848" width="13.7109375" style="483" customWidth="1"/>
    <col min="14849" max="14849" width="31.42578125" style="483" customWidth="1"/>
    <col min="14850" max="14850" width="8.7109375" style="483" customWidth="1"/>
    <col min="14851" max="14851" width="11.85546875" style="483" customWidth="1"/>
    <col min="14852" max="14852" width="17.7109375" style="483" customWidth="1"/>
    <col min="14853" max="14853" width="18.7109375" style="483" customWidth="1"/>
    <col min="14854" max="14854" width="14" style="483" customWidth="1"/>
    <col min="14855" max="14855" width="17.7109375" style="483" customWidth="1"/>
    <col min="14856" max="14856" width="13.28515625" style="483" customWidth="1"/>
    <col min="14857" max="14857" width="13.85546875" style="483" customWidth="1"/>
    <col min="14858" max="14858" width="15.140625" style="483" customWidth="1"/>
    <col min="14859" max="14859" width="14.28515625" style="483" customWidth="1"/>
    <col min="14860" max="14860" width="18.42578125" style="483" customWidth="1"/>
    <col min="14861" max="14861" width="15.140625" style="483" customWidth="1"/>
    <col min="14862" max="14862" width="20.5703125" style="483" customWidth="1"/>
    <col min="14863" max="14863" width="13.5703125" style="483" bestFit="1" customWidth="1"/>
    <col min="14864" max="14864" width="13.7109375" style="483" bestFit="1" customWidth="1"/>
    <col min="14865" max="14865" width="12.28515625" style="483" bestFit="1" customWidth="1"/>
    <col min="14866" max="15101" width="11.42578125" style="483"/>
    <col min="15102" max="15102" width="8.140625" style="483" customWidth="1"/>
    <col min="15103" max="15103" width="13.140625" style="483" customWidth="1"/>
    <col min="15104" max="15104" width="13.7109375" style="483" customWidth="1"/>
    <col min="15105" max="15105" width="31.42578125" style="483" customWidth="1"/>
    <col min="15106" max="15106" width="8.7109375" style="483" customWidth="1"/>
    <col min="15107" max="15107" width="11.85546875" style="483" customWidth="1"/>
    <col min="15108" max="15108" width="17.7109375" style="483" customWidth="1"/>
    <col min="15109" max="15109" width="18.7109375" style="483" customWidth="1"/>
    <col min="15110" max="15110" width="14" style="483" customWidth="1"/>
    <col min="15111" max="15111" width="17.7109375" style="483" customWidth="1"/>
    <col min="15112" max="15112" width="13.28515625" style="483" customWidth="1"/>
    <col min="15113" max="15113" width="13.85546875" style="483" customWidth="1"/>
    <col min="15114" max="15114" width="15.140625" style="483" customWidth="1"/>
    <col min="15115" max="15115" width="14.28515625" style="483" customWidth="1"/>
    <col min="15116" max="15116" width="18.42578125" style="483" customWidth="1"/>
    <col min="15117" max="15117" width="15.140625" style="483" customWidth="1"/>
    <col min="15118" max="15118" width="20.5703125" style="483" customWidth="1"/>
    <col min="15119" max="15119" width="13.5703125" style="483" bestFit="1" customWidth="1"/>
    <col min="15120" max="15120" width="13.7109375" style="483" bestFit="1" customWidth="1"/>
    <col min="15121" max="15121" width="12.28515625" style="483" bestFit="1" customWidth="1"/>
    <col min="15122" max="15357" width="11.42578125" style="483"/>
    <col min="15358" max="15358" width="8.140625" style="483" customWidth="1"/>
    <col min="15359" max="15359" width="13.140625" style="483" customWidth="1"/>
    <col min="15360" max="15360" width="13.7109375" style="483" customWidth="1"/>
    <col min="15361" max="15361" width="31.42578125" style="483" customWidth="1"/>
    <col min="15362" max="15362" width="8.7109375" style="483" customWidth="1"/>
    <col min="15363" max="15363" width="11.85546875" style="483" customWidth="1"/>
    <col min="15364" max="15364" width="17.7109375" style="483" customWidth="1"/>
    <col min="15365" max="15365" width="18.7109375" style="483" customWidth="1"/>
    <col min="15366" max="15366" width="14" style="483" customWidth="1"/>
    <col min="15367" max="15367" width="17.7109375" style="483" customWidth="1"/>
    <col min="15368" max="15368" width="13.28515625" style="483" customWidth="1"/>
    <col min="15369" max="15369" width="13.85546875" style="483" customWidth="1"/>
    <col min="15370" max="15370" width="15.140625" style="483" customWidth="1"/>
    <col min="15371" max="15371" width="14.28515625" style="483" customWidth="1"/>
    <col min="15372" max="15372" width="18.42578125" style="483" customWidth="1"/>
    <col min="15373" max="15373" width="15.140625" style="483" customWidth="1"/>
    <col min="15374" max="15374" width="20.5703125" style="483" customWidth="1"/>
    <col min="15375" max="15375" width="13.5703125" style="483" bestFit="1" customWidth="1"/>
    <col min="15376" max="15376" width="13.7109375" style="483" bestFit="1" customWidth="1"/>
    <col min="15377" max="15377" width="12.28515625" style="483" bestFit="1" customWidth="1"/>
    <col min="15378" max="15613" width="11.42578125" style="483"/>
    <col min="15614" max="15614" width="8.140625" style="483" customWidth="1"/>
    <col min="15615" max="15615" width="13.140625" style="483" customWidth="1"/>
    <col min="15616" max="15616" width="13.7109375" style="483" customWidth="1"/>
    <col min="15617" max="15617" width="31.42578125" style="483" customWidth="1"/>
    <col min="15618" max="15618" width="8.7109375" style="483" customWidth="1"/>
    <col min="15619" max="15619" width="11.85546875" style="483" customWidth="1"/>
    <col min="15620" max="15620" width="17.7109375" style="483" customWidth="1"/>
    <col min="15621" max="15621" width="18.7109375" style="483" customWidth="1"/>
    <col min="15622" max="15622" width="14" style="483" customWidth="1"/>
    <col min="15623" max="15623" width="17.7109375" style="483" customWidth="1"/>
    <col min="15624" max="15624" width="13.28515625" style="483" customWidth="1"/>
    <col min="15625" max="15625" width="13.85546875" style="483" customWidth="1"/>
    <col min="15626" max="15626" width="15.140625" style="483" customWidth="1"/>
    <col min="15627" max="15627" width="14.28515625" style="483" customWidth="1"/>
    <col min="15628" max="15628" width="18.42578125" style="483" customWidth="1"/>
    <col min="15629" max="15629" width="15.140625" style="483" customWidth="1"/>
    <col min="15630" max="15630" width="20.5703125" style="483" customWidth="1"/>
    <col min="15631" max="15631" width="13.5703125" style="483" bestFit="1" customWidth="1"/>
    <col min="15632" max="15632" width="13.7109375" style="483" bestFit="1" customWidth="1"/>
    <col min="15633" max="15633" width="12.28515625" style="483" bestFit="1" customWidth="1"/>
    <col min="15634" max="15869" width="11.42578125" style="483"/>
    <col min="15870" max="15870" width="8.140625" style="483" customWidth="1"/>
    <col min="15871" max="15871" width="13.140625" style="483" customWidth="1"/>
    <col min="15872" max="15872" width="13.7109375" style="483" customWidth="1"/>
    <col min="15873" max="15873" width="31.42578125" style="483" customWidth="1"/>
    <col min="15874" max="15874" width="8.7109375" style="483" customWidth="1"/>
    <col min="15875" max="15875" width="11.85546875" style="483" customWidth="1"/>
    <col min="15876" max="15876" width="17.7109375" style="483" customWidth="1"/>
    <col min="15877" max="15877" width="18.7109375" style="483" customWidth="1"/>
    <col min="15878" max="15878" width="14" style="483" customWidth="1"/>
    <col min="15879" max="15879" width="17.7109375" style="483" customWidth="1"/>
    <col min="15880" max="15880" width="13.28515625" style="483" customWidth="1"/>
    <col min="15881" max="15881" width="13.85546875" style="483" customWidth="1"/>
    <col min="15882" max="15882" width="15.140625" style="483" customWidth="1"/>
    <col min="15883" max="15883" width="14.28515625" style="483" customWidth="1"/>
    <col min="15884" max="15884" width="18.42578125" style="483" customWidth="1"/>
    <col min="15885" max="15885" width="15.140625" style="483" customWidth="1"/>
    <col min="15886" max="15886" width="20.5703125" style="483" customWidth="1"/>
    <col min="15887" max="15887" width="13.5703125" style="483" bestFit="1" customWidth="1"/>
    <col min="15888" max="15888" width="13.7109375" style="483" bestFit="1" customWidth="1"/>
    <col min="15889" max="15889" width="12.28515625" style="483" bestFit="1" customWidth="1"/>
    <col min="15890" max="16125" width="11.42578125" style="483"/>
    <col min="16126" max="16126" width="8.140625" style="483" customWidth="1"/>
    <col min="16127" max="16127" width="13.140625" style="483" customWidth="1"/>
    <col min="16128" max="16128" width="13.7109375" style="483" customWidth="1"/>
    <col min="16129" max="16129" width="31.42578125" style="483" customWidth="1"/>
    <col min="16130" max="16130" width="8.7109375" style="483" customWidth="1"/>
    <col min="16131" max="16131" width="11.85546875" style="483" customWidth="1"/>
    <col min="16132" max="16132" width="17.7109375" style="483" customWidth="1"/>
    <col min="16133" max="16133" width="18.7109375" style="483" customWidth="1"/>
    <col min="16134" max="16134" width="14" style="483" customWidth="1"/>
    <col min="16135" max="16135" width="17.7109375" style="483" customWidth="1"/>
    <col min="16136" max="16136" width="13.28515625" style="483" customWidth="1"/>
    <col min="16137" max="16137" width="13.85546875" style="483" customWidth="1"/>
    <col min="16138" max="16138" width="15.140625" style="483" customWidth="1"/>
    <col min="16139" max="16139" width="14.28515625" style="483" customWidth="1"/>
    <col min="16140" max="16140" width="18.42578125" style="483" customWidth="1"/>
    <col min="16141" max="16141" width="15.140625" style="483" customWidth="1"/>
    <col min="16142" max="16142" width="20.5703125" style="483" customWidth="1"/>
    <col min="16143" max="16143" width="13.5703125" style="483" bestFit="1" customWidth="1"/>
    <col min="16144" max="16144" width="13.7109375" style="483" bestFit="1" customWidth="1"/>
    <col min="16145" max="16145" width="12.28515625" style="483" bestFit="1" customWidth="1"/>
    <col min="16146" max="16384" width="11.42578125" style="483"/>
  </cols>
  <sheetData>
    <row r="1" spans="1:17" ht="12.75" customHeight="1">
      <c r="A1" s="1372" t="s">
        <v>1041</v>
      </c>
      <c r="B1" s="1373"/>
      <c r="C1" s="1373"/>
      <c r="D1" s="1374"/>
      <c r="E1" s="1274" t="s">
        <v>433</v>
      </c>
      <c r="F1" s="1275"/>
      <c r="G1" s="485" t="str">
        <f>DATOS!E12&amp;" "&amp;DATOS!G12&amp;" "&amp;DATOS!I12</f>
        <v xml:space="preserve">  </v>
      </c>
      <c r="H1" s="1276" t="s">
        <v>1044</v>
      </c>
      <c r="I1" s="1276"/>
      <c r="J1" s="1276"/>
      <c r="K1" s="1276"/>
      <c r="L1" s="1276"/>
      <c r="M1" s="1276"/>
      <c r="N1" s="1276"/>
      <c r="O1" s="800"/>
    </row>
    <row r="2" spans="1:17" ht="13.5" customHeight="1" thickBot="1">
      <c r="A2" s="1375"/>
      <c r="B2" s="1376"/>
      <c r="C2" s="1376"/>
      <c r="D2" s="1377"/>
      <c r="E2" s="1278" t="s">
        <v>434</v>
      </c>
      <c r="F2" s="1279"/>
      <c r="G2" s="485" t="str">
        <f>DATOS!E44&amp;" "&amp;DATOS!G44</f>
        <v xml:space="preserve"> </v>
      </c>
      <c r="H2" s="1277"/>
      <c r="I2" s="1277"/>
      <c r="J2" s="1277"/>
      <c r="K2" s="1277"/>
      <c r="L2" s="1277"/>
      <c r="M2" s="1277"/>
      <c r="N2" s="1277"/>
      <c r="O2" s="801"/>
    </row>
    <row r="3" spans="1:17" ht="12.75" customHeight="1">
      <c r="A3" s="1375"/>
      <c r="B3" s="1376"/>
      <c r="C3" s="1376"/>
      <c r="D3" s="1377"/>
      <c r="E3" s="1278" t="s">
        <v>435</v>
      </c>
      <c r="F3" s="1279"/>
      <c r="G3" s="487">
        <f>DATOS!E52</f>
        <v>0</v>
      </c>
      <c r="H3" s="1280">
        <f>+DATOS!E38</f>
        <v>0</v>
      </c>
      <c r="I3" s="1281"/>
      <c r="J3" s="1281"/>
      <c r="K3" s="1281"/>
      <c r="L3" s="1281"/>
      <c r="M3" s="1281"/>
      <c r="N3" s="1282"/>
      <c r="O3" s="801"/>
    </row>
    <row r="4" spans="1:17" ht="12.75" customHeight="1">
      <c r="A4" s="1375"/>
      <c r="B4" s="1376"/>
      <c r="C4" s="1376"/>
      <c r="D4" s="1377"/>
      <c r="E4" s="1278" t="s">
        <v>436</v>
      </c>
      <c r="F4" s="1279"/>
      <c r="G4" s="488" t="s">
        <v>437</v>
      </c>
      <c r="H4" s="1283"/>
      <c r="I4" s="1284"/>
      <c r="J4" s="1284"/>
      <c r="K4" s="1284"/>
      <c r="L4" s="1284"/>
      <c r="M4" s="1284"/>
      <c r="N4" s="1285"/>
      <c r="O4" s="802" t="s">
        <v>1135</v>
      </c>
    </row>
    <row r="5" spans="1:17" ht="12.75">
      <c r="A5" s="796"/>
      <c r="B5" s="771"/>
      <c r="C5" s="771"/>
      <c r="D5" s="797"/>
      <c r="E5" s="1278" t="s">
        <v>438</v>
      </c>
      <c r="F5" s="1279"/>
      <c r="G5" s="489">
        <v>42362</v>
      </c>
      <c r="H5" s="1283"/>
      <c r="I5" s="1284"/>
      <c r="J5" s="1284"/>
      <c r="K5" s="1284"/>
      <c r="L5" s="1284"/>
      <c r="M5" s="1284"/>
      <c r="N5" s="1285"/>
      <c r="O5" s="802" t="s">
        <v>1043</v>
      </c>
    </row>
    <row r="6" spans="1:17" ht="12.75">
      <c r="A6" s="796"/>
      <c r="B6" s="771"/>
      <c r="C6" s="771"/>
      <c r="D6" s="797"/>
      <c r="E6" s="1278" t="s">
        <v>439</v>
      </c>
      <c r="F6" s="1279"/>
      <c r="G6" s="489">
        <v>42381</v>
      </c>
      <c r="H6" s="1283"/>
      <c r="I6" s="1284"/>
      <c r="J6" s="1284"/>
      <c r="K6" s="1284"/>
      <c r="L6" s="1284"/>
      <c r="M6" s="1284"/>
      <c r="N6" s="1285"/>
      <c r="O6" s="802" t="s">
        <v>1136</v>
      </c>
    </row>
    <row r="7" spans="1:17" ht="12.75">
      <c r="A7" s="796"/>
      <c r="B7" s="771"/>
      <c r="C7" s="771"/>
      <c r="D7" s="797"/>
      <c r="E7" s="1278" t="s">
        <v>440</v>
      </c>
      <c r="F7" s="1279"/>
      <c r="G7" s="488" t="s">
        <v>441</v>
      </c>
      <c r="H7" s="1283"/>
      <c r="I7" s="1284"/>
      <c r="J7" s="1284"/>
      <c r="K7" s="1284"/>
      <c r="L7" s="1284"/>
      <c r="M7" s="1284"/>
      <c r="N7" s="1285"/>
      <c r="O7" s="801"/>
    </row>
    <row r="8" spans="1:17" ht="12.75">
      <c r="A8" s="796"/>
      <c r="B8" s="771"/>
      <c r="C8" s="771"/>
      <c r="D8" s="797"/>
      <c r="E8" s="1278" t="s">
        <v>442</v>
      </c>
      <c r="F8" s="1279"/>
      <c r="G8" s="489">
        <v>42447</v>
      </c>
      <c r="H8" s="1283"/>
      <c r="I8" s="1284"/>
      <c r="J8" s="1284"/>
      <c r="K8" s="1284"/>
      <c r="L8" s="1284"/>
      <c r="M8" s="1284"/>
      <c r="N8" s="1285"/>
      <c r="O8" s="801"/>
    </row>
    <row r="9" spans="1:17" ht="12.75">
      <c r="A9" s="796"/>
      <c r="B9" s="771"/>
      <c r="C9" s="771"/>
      <c r="D9" s="797"/>
      <c r="E9" s="1278" t="s">
        <v>443</v>
      </c>
      <c r="F9" s="1279"/>
      <c r="G9" s="489">
        <v>42464</v>
      </c>
      <c r="H9" s="1283"/>
      <c r="I9" s="1284"/>
      <c r="J9" s="1284"/>
      <c r="K9" s="1284"/>
      <c r="L9" s="1284"/>
      <c r="M9" s="1284"/>
      <c r="N9" s="1285"/>
      <c r="O9" s="801"/>
    </row>
    <row r="10" spans="1:17" ht="13.5" thickBot="1">
      <c r="A10" s="796"/>
      <c r="B10" s="771"/>
      <c r="C10" s="771"/>
      <c r="D10" s="797"/>
      <c r="E10" s="1278" t="s">
        <v>444</v>
      </c>
      <c r="F10" s="1279"/>
      <c r="G10" s="489">
        <v>42482</v>
      </c>
      <c r="H10" s="1286"/>
      <c r="I10" s="1287"/>
      <c r="J10" s="1287"/>
      <c r="K10" s="1287"/>
      <c r="L10" s="1287"/>
      <c r="M10" s="1287"/>
      <c r="N10" s="1288"/>
      <c r="O10" s="801"/>
    </row>
    <row r="11" spans="1:17" ht="27.75" customHeight="1" thickBot="1">
      <c r="A11" s="796"/>
      <c r="B11" s="771"/>
      <c r="C11" s="771"/>
      <c r="D11" s="797"/>
      <c r="E11" s="1289" t="s">
        <v>445</v>
      </c>
      <c r="F11" s="1289"/>
      <c r="G11" s="490" t="e">
        <f>K27</f>
        <v>#REF!</v>
      </c>
      <c r="H11" s="491" t="s">
        <v>446</v>
      </c>
      <c r="I11" s="1290" t="e">
        <f>N27-K27</f>
        <v>#REF!</v>
      </c>
      <c r="J11" s="1291"/>
      <c r="K11" s="492" t="s">
        <v>447</v>
      </c>
      <c r="L11" s="1290" t="e">
        <f>+K29</f>
        <v>#REF!</v>
      </c>
      <c r="M11" s="1293"/>
      <c r="N11" s="1291"/>
      <c r="O11" s="1292" t="s">
        <v>1045</v>
      </c>
    </row>
    <row r="12" spans="1:17" ht="27.75" customHeight="1" thickBot="1">
      <c r="A12" s="796"/>
      <c r="B12" s="771"/>
      <c r="C12" s="771"/>
      <c r="D12" s="797"/>
      <c r="E12" s="1289" t="s">
        <v>448</v>
      </c>
      <c r="F12" s="1289"/>
      <c r="G12" s="490">
        <f>K28</f>
        <v>0</v>
      </c>
      <c r="H12" s="491" t="s">
        <v>446</v>
      </c>
      <c r="I12" s="1290" t="e">
        <f>I11*0.07992</f>
        <v>#REF!</v>
      </c>
      <c r="J12" s="1291"/>
      <c r="K12" s="492"/>
      <c r="L12" s="779"/>
      <c r="M12" s="779"/>
      <c r="N12" s="778"/>
      <c r="O12" s="1292"/>
    </row>
    <row r="13" spans="1:17" ht="27.75" customHeight="1" thickBot="1">
      <c r="A13" s="796"/>
      <c r="B13" s="771"/>
      <c r="C13" s="771"/>
      <c r="D13" s="797"/>
      <c r="E13" s="1289" t="s">
        <v>449</v>
      </c>
      <c r="F13" s="1289"/>
      <c r="G13" s="490" t="e">
        <f>K29</f>
        <v>#REF!</v>
      </c>
      <c r="H13" s="495" t="s">
        <v>450</v>
      </c>
      <c r="I13" s="1290" t="e">
        <f>I12+I11</f>
        <v>#REF!</v>
      </c>
      <c r="J13" s="1291"/>
      <c r="K13" s="492"/>
      <c r="L13" s="1293"/>
      <c r="M13" s="1293"/>
      <c r="N13" s="778"/>
      <c r="O13" s="1292"/>
    </row>
    <row r="14" spans="1:17" ht="13.5" customHeight="1" thickBot="1">
      <c r="A14" s="796"/>
      <c r="B14" s="773"/>
      <c r="C14" s="773"/>
      <c r="D14" s="798"/>
      <c r="E14" s="1289" t="s">
        <v>451</v>
      </c>
      <c r="F14" s="1294"/>
      <c r="G14" s="1294"/>
      <c r="H14" s="1295" t="e">
        <f>+N29</f>
        <v>#REF!</v>
      </c>
      <c r="I14" s="1296"/>
      <c r="J14" s="1296"/>
      <c r="K14" s="1296"/>
      <c r="L14" s="1296"/>
      <c r="M14" s="1296"/>
      <c r="N14" s="1297"/>
      <c r="O14" s="1292"/>
      <c r="Q14" s="496"/>
    </row>
    <row r="15" spans="1:17" ht="13.5" thickBot="1">
      <c r="A15" s="796"/>
      <c r="B15" s="1300"/>
      <c r="C15" s="1300"/>
      <c r="D15" s="1301"/>
      <c r="E15" s="1302" t="s">
        <v>452</v>
      </c>
      <c r="F15" s="1302"/>
      <c r="G15" s="1303"/>
      <c r="H15" s="1304" t="e">
        <f>I13/G13</f>
        <v>#REF!</v>
      </c>
      <c r="I15" s="1305"/>
      <c r="J15" s="1305"/>
      <c r="K15" s="1305"/>
      <c r="L15" s="1305"/>
      <c r="M15" s="1305"/>
      <c r="N15" s="1306"/>
      <c r="O15" s="801"/>
      <c r="Q15" s="496"/>
    </row>
    <row r="16" spans="1:17" ht="13.5" thickBot="1">
      <c r="A16" s="796"/>
      <c r="B16" s="1300"/>
      <c r="C16" s="1300"/>
      <c r="D16" s="1301"/>
      <c r="E16" s="1307" t="s">
        <v>4</v>
      </c>
      <c r="F16" s="1308"/>
      <c r="G16" s="1309" t="s">
        <v>453</v>
      </c>
      <c r="H16" s="1310"/>
      <c r="I16" s="1310"/>
      <c r="J16" s="1310"/>
      <c r="K16" s="1310"/>
      <c r="L16" s="1310"/>
      <c r="M16" s="1310"/>
      <c r="N16" s="1311"/>
      <c r="O16" s="801"/>
    </row>
    <row r="17" spans="1:20" ht="13.5" thickBot="1">
      <c r="A17" s="799"/>
      <c r="B17" s="1312"/>
      <c r="C17" s="1312"/>
      <c r="D17" s="1313"/>
      <c r="E17" s="1314" t="s">
        <v>401</v>
      </c>
      <c r="F17" s="1315"/>
      <c r="G17" s="1309" t="s">
        <v>454</v>
      </c>
      <c r="H17" s="1310"/>
      <c r="I17" s="1310"/>
      <c r="J17" s="1310"/>
      <c r="K17" s="1310"/>
      <c r="L17" s="1310"/>
      <c r="M17" s="1310"/>
      <c r="N17" s="1311"/>
      <c r="O17" s="801"/>
    </row>
    <row r="18" spans="1:20" ht="15" customHeight="1">
      <c r="A18" s="1318"/>
      <c r="B18" s="1319"/>
      <c r="C18" s="784"/>
      <c r="D18" s="784"/>
      <c r="E18" s="1298"/>
      <c r="F18" s="1320" t="s">
        <v>455</v>
      </c>
      <c r="G18" s="1320"/>
      <c r="H18" s="1321"/>
      <c r="I18" s="1322" t="s">
        <v>97</v>
      </c>
      <c r="J18" s="1294"/>
      <c r="K18" s="1323"/>
      <c r="L18" s="1280" t="s">
        <v>456</v>
      </c>
      <c r="M18" s="1281"/>
      <c r="N18" s="1281"/>
      <c r="O18" s="803" t="s">
        <v>457</v>
      </c>
    </row>
    <row r="19" spans="1:20" ht="15.75" customHeight="1" thickBot="1">
      <c r="A19" s="1316"/>
      <c r="B19" s="1317"/>
      <c r="C19" s="1317"/>
      <c r="D19" s="1317"/>
      <c r="E19" s="1299"/>
      <c r="F19" s="1324" t="s">
        <v>296</v>
      </c>
      <c r="G19" s="1324"/>
      <c r="H19" s="783" t="s">
        <v>259</v>
      </c>
      <c r="I19" s="785"/>
      <c r="J19" s="786"/>
      <c r="K19" s="787"/>
      <c r="L19" s="788"/>
      <c r="M19" s="789"/>
      <c r="N19" s="789"/>
      <c r="O19" s="804"/>
    </row>
    <row r="20" spans="1:20" s="504" customFormat="1">
      <c r="A20" s="1378" t="s">
        <v>458</v>
      </c>
      <c r="B20" s="1379"/>
      <c r="C20" s="501"/>
      <c r="D20" s="501"/>
      <c r="E20" s="790"/>
      <c r="F20" s="1356"/>
      <c r="G20" s="1357"/>
      <c r="H20" s="502" t="e">
        <f>+H40</f>
        <v>#REF!</v>
      </c>
      <c r="I20" s="505"/>
      <c r="J20" s="505"/>
      <c r="K20" s="503" t="e">
        <f>+K40</f>
        <v>#REF!</v>
      </c>
      <c r="L20" s="505"/>
      <c r="M20" s="777" t="e">
        <f>N20-K20</f>
        <v>#REF!</v>
      </c>
      <c r="N20" s="502" t="e">
        <f>+N40</f>
        <v>#REF!</v>
      </c>
      <c r="O20" s="1325"/>
    </row>
    <row r="21" spans="1:20" s="504" customFormat="1">
      <c r="A21" s="1380" t="s">
        <v>459</v>
      </c>
      <c r="B21" s="1381"/>
      <c r="C21" s="506"/>
      <c r="D21" s="506"/>
      <c r="E21" s="791"/>
      <c r="F21" s="505"/>
      <c r="G21" s="507" t="s">
        <v>296</v>
      </c>
      <c r="H21" s="508" t="e">
        <f>+ROUND(H$20*$G21,0)</f>
        <v>#REF!</v>
      </c>
      <c r="I21" s="505"/>
      <c r="J21" s="505"/>
      <c r="K21" s="509" t="e">
        <f>+ROUND(K$20*$G21,0)</f>
        <v>#REF!</v>
      </c>
      <c r="L21" s="505"/>
      <c r="M21" s="505"/>
      <c r="N21" s="509" t="e">
        <f>+ROUND(N$20*$G21,0)</f>
        <v>#REF!</v>
      </c>
      <c r="O21" s="1326"/>
    </row>
    <row r="22" spans="1:20" s="504" customFormat="1">
      <c r="A22" s="1380" t="s">
        <v>460</v>
      </c>
      <c r="B22" s="1381"/>
      <c r="C22" s="506"/>
      <c r="D22" s="506"/>
      <c r="E22" s="791"/>
      <c r="F22" s="505"/>
      <c r="G22" s="507" t="s">
        <v>296</v>
      </c>
      <c r="H22" s="509" t="e">
        <f>+ROUND(H$20*$G22,0)</f>
        <v>#REF!</v>
      </c>
      <c r="I22" s="505"/>
      <c r="J22" s="505"/>
      <c r="K22" s="509" t="e">
        <f>+ROUND(K$20*$G22,0)</f>
        <v>#REF!</v>
      </c>
      <c r="L22" s="505"/>
      <c r="M22" s="505"/>
      <c r="N22" s="509" t="e">
        <f>+ROUND(N$20*$G22,0)</f>
        <v>#REF!</v>
      </c>
      <c r="O22" s="1326"/>
    </row>
    <row r="23" spans="1:20" s="504" customFormat="1">
      <c r="A23" s="1380" t="s">
        <v>461</v>
      </c>
      <c r="B23" s="1381"/>
      <c r="C23" s="506"/>
      <c r="D23" s="506"/>
      <c r="E23" s="791"/>
      <c r="F23" s="505"/>
      <c r="G23" s="507" t="s">
        <v>296</v>
      </c>
      <c r="H23" s="509" t="e">
        <f>+ROUND(H$20*$G23,0)</f>
        <v>#REF!</v>
      </c>
      <c r="I23" s="505"/>
      <c r="J23" s="505"/>
      <c r="K23" s="509" t="e">
        <f>+ROUND(K$20*$G23,0)</f>
        <v>#REF!</v>
      </c>
      <c r="L23" s="505"/>
      <c r="M23" s="505"/>
      <c r="N23" s="509" t="e">
        <f>+ROUND(N$20*$G23,0)</f>
        <v>#REF!</v>
      </c>
      <c r="O23" s="1326"/>
    </row>
    <row r="24" spans="1:20" s="504" customFormat="1">
      <c r="A24" s="1333" t="s">
        <v>462</v>
      </c>
      <c r="B24" s="1334"/>
      <c r="C24" s="511"/>
      <c r="D24" s="511"/>
      <c r="E24" s="792"/>
      <c r="F24" s="510"/>
      <c r="G24" s="507" t="s">
        <v>296</v>
      </c>
      <c r="H24" s="513" t="e">
        <f>+ROUND(H20*0.32+H25,0)</f>
        <v>#REF!</v>
      </c>
      <c r="I24" s="505"/>
      <c r="J24" s="505"/>
      <c r="K24" s="513" t="e">
        <f>+ROUND(K20*0.32+K25,0)</f>
        <v>#REF!</v>
      </c>
      <c r="L24" s="505"/>
      <c r="M24" s="505"/>
      <c r="N24" s="513" t="e">
        <f>N21+N22+N23</f>
        <v>#REF!</v>
      </c>
      <c r="O24" s="1326"/>
    </row>
    <row r="25" spans="1:20" s="504" customFormat="1">
      <c r="A25" s="1333" t="s">
        <v>463</v>
      </c>
      <c r="B25" s="1334"/>
      <c r="C25" s="511"/>
      <c r="D25" s="511"/>
      <c r="E25" s="792"/>
      <c r="F25" s="510"/>
      <c r="G25" s="507" t="s">
        <v>296</v>
      </c>
      <c r="H25" s="509" t="e">
        <f>+ROUND(H23*$G25,0)</f>
        <v>#REF!</v>
      </c>
      <c r="I25" s="505"/>
      <c r="J25" s="505"/>
      <c r="K25" s="513" t="e">
        <f>+ROUND(K23*G25,0)</f>
        <v>#REF!</v>
      </c>
      <c r="L25" s="505"/>
      <c r="M25" s="505"/>
      <c r="N25" s="513" t="e">
        <f>+ROUND(N23*G25,0)</f>
        <v>#REF!</v>
      </c>
      <c r="O25" s="1326"/>
    </row>
    <row r="26" spans="1:20" s="504" customFormat="1" ht="16.5" thickBot="1">
      <c r="A26" s="1337" t="s">
        <v>464</v>
      </c>
      <c r="B26" s="1338"/>
      <c r="C26" s="1338"/>
      <c r="D26" s="1338"/>
      <c r="E26" s="1339"/>
      <c r="F26" s="514"/>
      <c r="G26" s="515"/>
      <c r="H26" s="516"/>
      <c r="I26" s="505"/>
      <c r="J26" s="505"/>
      <c r="K26" s="513"/>
      <c r="L26" s="505"/>
      <c r="M26" s="505"/>
      <c r="N26" s="513">
        <v>577645</v>
      </c>
      <c r="O26" s="1326"/>
    </row>
    <row r="27" spans="1:20" s="504" customFormat="1" ht="16.5" customHeight="1">
      <c r="A27" s="1337" t="s">
        <v>465</v>
      </c>
      <c r="B27" s="1338"/>
      <c r="C27" s="518"/>
      <c r="D27" s="518"/>
      <c r="E27" s="793"/>
      <c r="F27" s="517"/>
      <c r="G27" s="519"/>
      <c r="H27" s="520" t="e">
        <f>H20+H24</f>
        <v>#REF!</v>
      </c>
      <c r="I27" s="505"/>
      <c r="J27" s="505"/>
      <c r="K27" s="520" t="e">
        <f>K20+K24</f>
        <v>#REF!</v>
      </c>
      <c r="L27" s="505"/>
      <c r="M27" s="505"/>
      <c r="N27" s="520" t="e">
        <f>N20+N24+N25-N26</f>
        <v>#REF!</v>
      </c>
      <c r="O27" s="1326"/>
    </row>
    <row r="28" spans="1:20" s="504" customFormat="1" ht="16.5" thickBot="1">
      <c r="A28" s="1337" t="s">
        <v>466</v>
      </c>
      <c r="B28" s="1338"/>
      <c r="C28" s="1338"/>
      <c r="D28" s="1338"/>
      <c r="E28" s="1339"/>
      <c r="F28" s="521"/>
      <c r="G28" s="522"/>
      <c r="H28" s="523"/>
      <c r="I28" s="505"/>
      <c r="J28" s="505"/>
      <c r="K28" s="513"/>
      <c r="L28" s="776">
        <v>7.9920000000000005E-2</v>
      </c>
      <c r="M28" s="505"/>
      <c r="N28" s="513" t="e">
        <f>I12+K28</f>
        <v>#REF!</v>
      </c>
      <c r="O28" s="1326"/>
    </row>
    <row r="29" spans="1:20" s="504" customFormat="1" ht="16.5" thickBot="1">
      <c r="A29" s="1335" t="s">
        <v>117</v>
      </c>
      <c r="B29" s="1336"/>
      <c r="C29" s="794"/>
      <c r="D29" s="794"/>
      <c r="E29" s="795"/>
      <c r="F29" s="526"/>
      <c r="G29" s="527"/>
      <c r="H29" s="520" t="e">
        <f>+H27</f>
        <v>#REF!</v>
      </c>
      <c r="I29" s="505"/>
      <c r="J29" s="505"/>
      <c r="K29" s="520" t="e">
        <f>K28+K27</f>
        <v>#REF!</v>
      </c>
      <c r="L29" s="505"/>
      <c r="M29" s="505"/>
      <c r="N29" s="528" t="e">
        <f>N28+N27</f>
        <v>#REF!</v>
      </c>
      <c r="O29" s="1326"/>
      <c r="P29" s="529"/>
    </row>
    <row r="30" spans="1:20" s="504" customFormat="1" ht="39" customHeight="1" thickBot="1">
      <c r="A30" s="805" t="s">
        <v>467</v>
      </c>
      <c r="B30" s="1328" t="s">
        <v>468</v>
      </c>
      <c r="C30" s="1328"/>
      <c r="D30" s="1329"/>
      <c r="E30" s="531" t="s">
        <v>469</v>
      </c>
      <c r="F30" s="532" t="s">
        <v>118</v>
      </c>
      <c r="G30" s="533" t="s">
        <v>470</v>
      </c>
      <c r="H30" s="534" t="s">
        <v>471</v>
      </c>
      <c r="I30" s="535" t="s">
        <v>317</v>
      </c>
      <c r="J30" s="535" t="s">
        <v>470</v>
      </c>
      <c r="K30" s="535" t="s">
        <v>472</v>
      </c>
      <c r="L30" s="535" t="s">
        <v>317</v>
      </c>
      <c r="M30" s="535" t="s">
        <v>470</v>
      </c>
      <c r="N30" s="535" t="s">
        <v>406</v>
      </c>
      <c r="O30" s="1327"/>
      <c r="P30" s="536"/>
    </row>
    <row r="31" spans="1:20" s="550" customFormat="1" ht="20.25" customHeight="1">
      <c r="A31" s="806">
        <v>1</v>
      </c>
      <c r="B31" s="1330" t="s">
        <v>473</v>
      </c>
      <c r="C31" s="1331"/>
      <c r="D31" s="1332"/>
      <c r="E31" s="538"/>
      <c r="F31" s="539"/>
      <c r="G31" s="540"/>
      <c r="H31" s="541"/>
      <c r="I31" s="542"/>
      <c r="J31" s="543"/>
      <c r="K31" s="544"/>
      <c r="L31" s="545"/>
      <c r="M31" s="546"/>
      <c r="N31" s="547"/>
      <c r="O31" s="807"/>
      <c r="P31" s="549"/>
      <c r="Q31" s="549"/>
      <c r="S31" s="551"/>
      <c r="T31" s="549"/>
    </row>
    <row r="32" spans="1:20" s="550" customFormat="1" ht="40.5" customHeight="1">
      <c r="A32" s="808">
        <v>1.1000000000000001</v>
      </c>
      <c r="B32" s="1350"/>
      <c r="C32" s="1351"/>
      <c r="D32" s="1352"/>
      <c r="E32" s="553"/>
      <c r="F32" s="554"/>
      <c r="G32" s="555"/>
      <c r="H32" s="556"/>
      <c r="I32" s="557"/>
      <c r="J32" s="555"/>
      <c r="K32" s="558"/>
      <c r="L32" s="545"/>
      <c r="M32" s="546"/>
      <c r="N32" s="547"/>
      <c r="O32" s="809"/>
      <c r="P32" s="549"/>
      <c r="Q32" s="549"/>
      <c r="S32" s="551"/>
      <c r="T32" s="549"/>
    </row>
    <row r="33" spans="1:20" s="550" customFormat="1" ht="27" customHeight="1">
      <c r="A33" s="808" t="s">
        <v>500</v>
      </c>
      <c r="B33" s="1350"/>
      <c r="C33" s="1351"/>
      <c r="D33" s="1352"/>
      <c r="E33" s="553"/>
      <c r="F33" s="554"/>
      <c r="G33" s="555"/>
      <c r="H33" s="556"/>
      <c r="I33" s="557"/>
      <c r="J33" s="555"/>
      <c r="K33" s="558"/>
      <c r="L33" s="545"/>
      <c r="M33" s="546"/>
      <c r="N33" s="547"/>
      <c r="O33" s="809"/>
      <c r="P33" s="549"/>
      <c r="Q33" s="549"/>
      <c r="S33" s="551"/>
      <c r="T33" s="549"/>
    </row>
    <row r="34" spans="1:20" s="571" customFormat="1" ht="15.75" customHeight="1">
      <c r="A34" s="810"/>
      <c r="B34" s="1353"/>
      <c r="C34" s="1354"/>
      <c r="D34" s="1355"/>
      <c r="E34" s="569"/>
      <c r="F34" s="1343" t="s">
        <v>504</v>
      </c>
      <c r="G34" s="1344"/>
      <c r="H34" s="570">
        <f>+SUM(H32:H33)</f>
        <v>0</v>
      </c>
      <c r="I34" s="1345" t="s">
        <v>504</v>
      </c>
      <c r="J34" s="1344"/>
      <c r="K34" s="570">
        <f>SUM(K32:K33)</f>
        <v>0</v>
      </c>
      <c r="L34" s="545">
        <f>'[3]ACTA MOD. reformulacion'!K35</f>
        <v>0</v>
      </c>
      <c r="M34" s="546"/>
      <c r="N34" s="570">
        <f>SUM(N32:N33)</f>
        <v>0</v>
      </c>
      <c r="O34" s="809"/>
      <c r="P34" s="549"/>
      <c r="Q34" s="549"/>
      <c r="S34" s="551"/>
      <c r="T34" s="549"/>
    </row>
    <row r="35" spans="1:20" s="571" customFormat="1" ht="15.75" customHeight="1">
      <c r="A35" s="810"/>
      <c r="B35" s="1346" t="s">
        <v>505</v>
      </c>
      <c r="C35" s="1345"/>
      <c r="D35" s="1344"/>
      <c r="E35" s="572"/>
      <c r="F35" s="573"/>
      <c r="G35" s="574"/>
      <c r="H35" s="575">
        <f>+H34</f>
        <v>0</v>
      </c>
      <c r="I35" s="576"/>
      <c r="J35" s="574"/>
      <c r="K35" s="575">
        <f>+K34</f>
        <v>0</v>
      </c>
      <c r="L35" s="545">
        <f>'[3]ACTA MOD. reformulacion'!K36</f>
        <v>0</v>
      </c>
      <c r="M35" s="546"/>
      <c r="N35" s="575">
        <f>+N34</f>
        <v>0</v>
      </c>
      <c r="O35" s="809"/>
      <c r="P35" s="549"/>
      <c r="Q35" s="549"/>
      <c r="S35" s="551"/>
      <c r="T35" s="549"/>
    </row>
    <row r="36" spans="1:20" s="550" customFormat="1" ht="20.25" customHeight="1">
      <c r="A36" s="811"/>
      <c r="B36" s="1347"/>
      <c r="C36" s="1348"/>
      <c r="D36" s="1349"/>
      <c r="E36" s="780"/>
      <c r="F36" s="579"/>
      <c r="G36" s="580"/>
      <c r="H36" s="581"/>
      <c r="I36" s="582"/>
      <c r="J36" s="580"/>
      <c r="K36" s="544"/>
      <c r="L36" s="545"/>
      <c r="M36" s="546"/>
      <c r="N36" s="547"/>
      <c r="O36" s="809"/>
      <c r="P36" s="549"/>
      <c r="Q36" s="549"/>
      <c r="S36" s="551"/>
      <c r="T36" s="549"/>
    </row>
    <row r="37" spans="1:20" s="550" customFormat="1" ht="45" customHeight="1">
      <c r="A37" s="812"/>
      <c r="B37" s="1340"/>
      <c r="C37" s="1341"/>
      <c r="D37" s="1342"/>
      <c r="E37" s="687"/>
      <c r="F37" s="557"/>
      <c r="G37" s="555"/>
      <c r="H37" s="556"/>
      <c r="I37" s="664"/>
      <c r="J37" s="656"/>
      <c r="K37" s="558"/>
      <c r="L37" s="545"/>
      <c r="M37" s="546"/>
      <c r="N37" s="685"/>
      <c r="O37" s="809"/>
      <c r="P37" s="549"/>
      <c r="Q37" s="549"/>
      <c r="S37" s="551"/>
      <c r="T37" s="549"/>
    </row>
    <row r="38" spans="1:20" s="692" customFormat="1" ht="25.5" customHeight="1">
      <c r="A38" s="813"/>
      <c r="B38" s="1382"/>
      <c r="C38" s="1383"/>
      <c r="D38" s="1384"/>
      <c r="E38" s="1385" t="s">
        <v>1036</v>
      </c>
      <c r="F38" s="1385"/>
      <c r="G38" s="1385"/>
      <c r="H38" s="611"/>
      <c r="I38" s="689"/>
      <c r="J38" s="690"/>
      <c r="K38" s="611">
        <f>SUM(K37:K37)</f>
        <v>0</v>
      </c>
      <c r="L38" s="545"/>
      <c r="M38" s="546"/>
      <c r="N38" s="611">
        <f>SUM(N37:N37)</f>
        <v>0</v>
      </c>
      <c r="O38" s="809"/>
      <c r="P38" s="691"/>
      <c r="Q38" s="691"/>
      <c r="S38" s="693"/>
      <c r="T38" s="691"/>
    </row>
    <row r="39" spans="1:20" s="571" customFormat="1" ht="15" customHeight="1">
      <c r="A39" s="814"/>
      <c r="B39" s="1358"/>
      <c r="C39" s="1358"/>
      <c r="D39" s="1358"/>
      <c r="E39" s="695"/>
      <c r="F39" s="696"/>
      <c r="G39" s="697"/>
      <c r="H39" s="698"/>
      <c r="I39" s="699"/>
      <c r="J39" s="700"/>
      <c r="K39" s="698"/>
      <c r="L39" s="701"/>
      <c r="M39" s="702"/>
      <c r="N39" s="703"/>
      <c r="O39" s="807"/>
      <c r="P39" s="549"/>
      <c r="Q39" s="549"/>
      <c r="S39" s="551"/>
      <c r="T39" s="549"/>
    </row>
    <row r="40" spans="1:20" s="550" customFormat="1" ht="17.25" customHeight="1" thickBot="1">
      <c r="A40" s="815"/>
      <c r="B40" s="1359"/>
      <c r="C40" s="1359"/>
      <c r="D40" s="1359"/>
      <c r="E40" s="705"/>
      <c r="F40" s="706"/>
      <c r="G40" s="707"/>
      <c r="H40" s="708" t="e">
        <f>SUM(#REF!,#REF!,#REF!,#REF!,#REF!,#REF!,#REF!,H35)</f>
        <v>#REF!</v>
      </c>
      <c r="I40" s="709"/>
      <c r="J40" s="710"/>
      <c r="K40" s="708" t="e">
        <f>SUM(K35,#REF!,#REF!,#REF!+#REF!+#REF!+#REF!+#REF!+K38)</f>
        <v>#REF!</v>
      </c>
      <c r="L40" s="711"/>
      <c r="M40" s="712"/>
      <c r="N40" s="713" t="e">
        <f>SUM(N38,#REF!,#REF!,#REF!,#REF!,#REF!,#REF!,#REF!,N35)</f>
        <v>#REF!</v>
      </c>
      <c r="O40" s="807"/>
      <c r="P40" s="549"/>
      <c r="Q40" s="549"/>
      <c r="S40" s="551"/>
      <c r="T40" s="549"/>
    </row>
    <row r="41" spans="1:20" s="550" customFormat="1" ht="15.75" hidden="1" customHeight="1">
      <c r="A41" s="816"/>
      <c r="B41" s="1360"/>
      <c r="C41" s="1361"/>
      <c r="D41" s="1362"/>
      <c r="E41" s="715"/>
      <c r="F41" s="716"/>
      <c r="G41" s="717"/>
      <c r="H41" s="718"/>
      <c r="I41" s="719"/>
      <c r="J41" s="719"/>
      <c r="K41" s="718"/>
      <c r="L41" s="720"/>
      <c r="M41" s="720"/>
      <c r="N41" s="721"/>
      <c r="O41" s="817"/>
      <c r="P41" s="549"/>
      <c r="Q41" s="549"/>
      <c r="S41" s="551"/>
      <c r="T41" s="549"/>
    </row>
    <row r="42" spans="1:20" s="550" customFormat="1" ht="15.75" hidden="1" customHeight="1">
      <c r="A42" s="816"/>
      <c r="B42" s="1360"/>
      <c r="C42" s="1361"/>
      <c r="D42" s="1362"/>
      <c r="E42" s="715"/>
      <c r="F42" s="716"/>
      <c r="G42" s="717"/>
      <c r="H42" s="718"/>
      <c r="I42" s="719"/>
      <c r="J42" s="719"/>
      <c r="K42" s="718"/>
      <c r="L42" s="720"/>
      <c r="M42" s="720"/>
      <c r="N42" s="721"/>
      <c r="O42" s="817"/>
      <c r="P42" s="549"/>
      <c r="Q42" s="549"/>
      <c r="S42" s="551"/>
      <c r="T42" s="549"/>
    </row>
    <row r="43" spans="1:20" s="550" customFormat="1" ht="15.75" hidden="1" customHeight="1">
      <c r="A43" s="816"/>
      <c r="B43" s="1360"/>
      <c r="C43" s="1361"/>
      <c r="D43" s="1362"/>
      <c r="E43" s="715"/>
      <c r="F43" s="716"/>
      <c r="G43" s="717"/>
      <c r="H43" s="718"/>
      <c r="I43" s="719"/>
      <c r="J43" s="719"/>
      <c r="K43" s="718"/>
      <c r="L43" s="720"/>
      <c r="M43" s="720"/>
      <c r="N43" s="721"/>
      <c r="O43" s="817"/>
      <c r="P43" s="549"/>
      <c r="Q43" s="549"/>
      <c r="S43" s="551"/>
      <c r="T43" s="549"/>
    </row>
    <row r="44" spans="1:20" s="550" customFormat="1" ht="15.75" hidden="1" customHeight="1">
      <c r="A44" s="816"/>
      <c r="B44" s="1360"/>
      <c r="C44" s="1361"/>
      <c r="D44" s="1362"/>
      <c r="E44" s="715"/>
      <c r="F44" s="716"/>
      <c r="G44" s="717"/>
      <c r="H44" s="718"/>
      <c r="I44" s="719"/>
      <c r="J44" s="719"/>
      <c r="K44" s="718"/>
      <c r="L44" s="720"/>
      <c r="M44" s="720"/>
      <c r="N44" s="721"/>
      <c r="O44" s="817"/>
      <c r="P44" s="549"/>
      <c r="Q44" s="549"/>
      <c r="S44" s="551"/>
      <c r="T44" s="549"/>
    </row>
    <row r="45" spans="1:20" s="550" customFormat="1" ht="15.75" hidden="1" customHeight="1">
      <c r="A45" s="816"/>
      <c r="B45" s="1360"/>
      <c r="C45" s="1361"/>
      <c r="D45" s="1362"/>
      <c r="E45" s="715"/>
      <c r="F45" s="716"/>
      <c r="G45" s="717"/>
      <c r="H45" s="718"/>
      <c r="I45" s="719"/>
      <c r="J45" s="719"/>
      <c r="K45" s="718"/>
      <c r="L45" s="720"/>
      <c r="M45" s="720"/>
      <c r="N45" s="721"/>
      <c r="O45" s="817"/>
      <c r="P45" s="549"/>
      <c r="Q45" s="549"/>
      <c r="S45" s="551"/>
      <c r="T45" s="549"/>
    </row>
    <row r="46" spans="1:20" s="550" customFormat="1" ht="15.75" hidden="1" customHeight="1">
      <c r="A46" s="816"/>
      <c r="B46" s="1360"/>
      <c r="C46" s="1361"/>
      <c r="D46" s="1362"/>
      <c r="E46" s="715"/>
      <c r="F46" s="716"/>
      <c r="G46" s="717"/>
      <c r="H46" s="718"/>
      <c r="I46" s="719"/>
      <c r="J46" s="719"/>
      <c r="K46" s="718"/>
      <c r="L46" s="720"/>
      <c r="M46" s="720"/>
      <c r="N46" s="721"/>
      <c r="O46" s="817"/>
      <c r="P46" s="549"/>
      <c r="Q46" s="549"/>
      <c r="S46" s="551"/>
      <c r="T46" s="549"/>
    </row>
    <row r="47" spans="1:20" s="550" customFormat="1" ht="15.75" hidden="1" customHeight="1">
      <c r="A47" s="816"/>
      <c r="B47" s="1360"/>
      <c r="C47" s="1361"/>
      <c r="D47" s="1362"/>
      <c r="E47" s="715"/>
      <c r="F47" s="716"/>
      <c r="G47" s="717"/>
      <c r="H47" s="718"/>
      <c r="I47" s="719"/>
      <c r="J47" s="719"/>
      <c r="K47" s="718"/>
      <c r="L47" s="720"/>
      <c r="M47" s="720"/>
      <c r="N47" s="721"/>
      <c r="O47" s="817"/>
      <c r="P47" s="549"/>
      <c r="Q47" s="549"/>
      <c r="S47" s="551"/>
      <c r="T47" s="549"/>
    </row>
    <row r="48" spans="1:20" s="550" customFormat="1" ht="15.75" hidden="1" customHeight="1">
      <c r="A48" s="816"/>
      <c r="B48" s="1360"/>
      <c r="C48" s="1361"/>
      <c r="D48" s="1362"/>
      <c r="E48" s="715"/>
      <c r="F48" s="716"/>
      <c r="G48" s="717"/>
      <c r="H48" s="718"/>
      <c r="I48" s="719"/>
      <c r="J48" s="719"/>
      <c r="K48" s="718"/>
      <c r="L48" s="720"/>
      <c r="M48" s="720"/>
      <c r="N48" s="721"/>
      <c r="O48" s="817"/>
      <c r="P48" s="549"/>
      <c r="Q48" s="549"/>
      <c r="S48" s="551"/>
      <c r="T48" s="549"/>
    </row>
    <row r="49" spans="1:20" s="550" customFormat="1" ht="15.75" hidden="1" customHeight="1">
      <c r="A49" s="816"/>
      <c r="B49" s="1360"/>
      <c r="C49" s="1361"/>
      <c r="D49" s="1362"/>
      <c r="E49" s="715"/>
      <c r="F49" s="716"/>
      <c r="G49" s="717"/>
      <c r="H49" s="718"/>
      <c r="I49" s="719"/>
      <c r="J49" s="719"/>
      <c r="K49" s="718"/>
      <c r="L49" s="720"/>
      <c r="M49" s="720"/>
      <c r="N49" s="721"/>
      <c r="O49" s="817"/>
      <c r="P49" s="549"/>
      <c r="Q49" s="549"/>
      <c r="S49" s="551"/>
      <c r="T49" s="549"/>
    </row>
    <row r="50" spans="1:20" s="550" customFormat="1" ht="15.75" hidden="1" customHeight="1">
      <c r="A50" s="816"/>
      <c r="B50" s="1360"/>
      <c r="C50" s="1361"/>
      <c r="D50" s="1362"/>
      <c r="E50" s="715"/>
      <c r="F50" s="716"/>
      <c r="G50" s="717"/>
      <c r="H50" s="718"/>
      <c r="I50" s="719"/>
      <c r="J50" s="719"/>
      <c r="K50" s="718"/>
      <c r="L50" s="720"/>
      <c r="M50" s="720"/>
      <c r="N50" s="721"/>
      <c r="O50" s="817"/>
      <c r="P50" s="549"/>
      <c r="Q50" s="549"/>
      <c r="S50" s="551"/>
      <c r="T50" s="549"/>
    </row>
    <row r="51" spans="1:20" s="550" customFormat="1" ht="15.75" hidden="1" customHeight="1">
      <c r="A51" s="816"/>
      <c r="B51" s="1360"/>
      <c r="C51" s="1361"/>
      <c r="D51" s="1362"/>
      <c r="E51" s="715"/>
      <c r="F51" s="716"/>
      <c r="G51" s="717"/>
      <c r="H51" s="718"/>
      <c r="I51" s="719"/>
      <c r="J51" s="719"/>
      <c r="K51" s="718"/>
      <c r="L51" s="720"/>
      <c r="M51" s="720"/>
      <c r="N51" s="721"/>
      <c r="O51" s="817"/>
      <c r="P51" s="549"/>
      <c r="Q51" s="549"/>
      <c r="S51" s="551"/>
      <c r="T51" s="549"/>
    </row>
    <row r="52" spans="1:20" s="550" customFormat="1" ht="15.75" hidden="1" customHeight="1">
      <c r="A52" s="816"/>
      <c r="B52" s="1360"/>
      <c r="C52" s="1361"/>
      <c r="D52" s="1362"/>
      <c r="E52" s="715"/>
      <c r="F52" s="716"/>
      <c r="G52" s="717"/>
      <c r="H52" s="718"/>
      <c r="I52" s="719"/>
      <c r="J52" s="719"/>
      <c r="K52" s="718"/>
      <c r="L52" s="720"/>
      <c r="M52" s="720"/>
      <c r="N52" s="721"/>
      <c r="O52" s="817"/>
      <c r="P52" s="549"/>
      <c r="Q52" s="549"/>
      <c r="S52" s="551"/>
      <c r="T52" s="549"/>
    </row>
    <row r="53" spans="1:20" s="550" customFormat="1" ht="15.75" hidden="1" customHeight="1">
      <c r="A53" s="816"/>
      <c r="B53" s="1360"/>
      <c r="C53" s="1361"/>
      <c r="D53" s="1362"/>
      <c r="E53" s="715"/>
      <c r="F53" s="716"/>
      <c r="G53" s="717"/>
      <c r="H53" s="718"/>
      <c r="I53" s="719"/>
      <c r="J53" s="719"/>
      <c r="K53" s="718"/>
      <c r="L53" s="720"/>
      <c r="M53" s="720"/>
      <c r="N53" s="721"/>
      <c r="O53" s="817"/>
      <c r="P53" s="549"/>
      <c r="Q53" s="549"/>
      <c r="S53" s="551"/>
      <c r="T53" s="549"/>
    </row>
    <row r="54" spans="1:20" s="550" customFormat="1" ht="15.75" hidden="1" customHeight="1">
      <c r="A54" s="816"/>
      <c r="B54" s="1360"/>
      <c r="C54" s="1361"/>
      <c r="D54" s="1362"/>
      <c r="E54" s="715"/>
      <c r="F54" s="716"/>
      <c r="G54" s="717"/>
      <c r="H54" s="718"/>
      <c r="I54" s="719"/>
      <c r="J54" s="719"/>
      <c r="K54" s="718"/>
      <c r="L54" s="720"/>
      <c r="M54" s="720"/>
      <c r="N54" s="721"/>
      <c r="O54" s="817"/>
      <c r="P54" s="549"/>
      <c r="Q54" s="549"/>
      <c r="S54" s="551"/>
      <c r="T54" s="549"/>
    </row>
    <row r="55" spans="1:20" s="550" customFormat="1" ht="15.75" hidden="1" customHeight="1">
      <c r="A55" s="816"/>
      <c r="B55" s="1360"/>
      <c r="C55" s="1361"/>
      <c r="D55" s="1362"/>
      <c r="E55" s="715"/>
      <c r="F55" s="716"/>
      <c r="G55" s="717"/>
      <c r="H55" s="718"/>
      <c r="I55" s="719"/>
      <c r="J55" s="719"/>
      <c r="K55" s="718"/>
      <c r="L55" s="720"/>
      <c r="M55" s="720"/>
      <c r="N55" s="721"/>
      <c r="O55" s="817"/>
      <c r="P55" s="549"/>
      <c r="Q55" s="549"/>
      <c r="S55" s="551"/>
      <c r="T55" s="549"/>
    </row>
    <row r="56" spans="1:20" s="550" customFormat="1" ht="15.75" hidden="1" customHeight="1">
      <c r="A56" s="816"/>
      <c r="B56" s="1360"/>
      <c r="C56" s="1361"/>
      <c r="D56" s="1362"/>
      <c r="E56" s="715"/>
      <c r="F56" s="716"/>
      <c r="G56" s="717"/>
      <c r="H56" s="718"/>
      <c r="I56" s="719"/>
      <c r="J56" s="719"/>
      <c r="K56" s="718"/>
      <c r="L56" s="720"/>
      <c r="M56" s="720"/>
      <c r="N56" s="721"/>
      <c r="O56" s="817"/>
      <c r="P56" s="549"/>
      <c r="Q56" s="549"/>
      <c r="S56" s="551"/>
      <c r="T56" s="549"/>
    </row>
    <row r="57" spans="1:20" s="550" customFormat="1" ht="15.75" hidden="1" customHeight="1">
      <c r="A57" s="816"/>
      <c r="B57" s="1360"/>
      <c r="C57" s="1361"/>
      <c r="D57" s="1362"/>
      <c r="E57" s="715"/>
      <c r="F57" s="716"/>
      <c r="G57" s="717"/>
      <c r="H57" s="718"/>
      <c r="I57" s="719"/>
      <c r="J57" s="719"/>
      <c r="K57" s="718"/>
      <c r="L57" s="720"/>
      <c r="M57" s="720"/>
      <c r="N57" s="721"/>
      <c r="O57" s="817"/>
      <c r="P57" s="549"/>
      <c r="Q57" s="549"/>
      <c r="S57" s="551"/>
      <c r="T57" s="549"/>
    </row>
    <row r="58" spans="1:20" s="550" customFormat="1" ht="15.75" hidden="1" customHeight="1">
      <c r="A58" s="816"/>
      <c r="B58" s="1360"/>
      <c r="C58" s="1361"/>
      <c r="D58" s="1362"/>
      <c r="E58" s="715"/>
      <c r="F58" s="716"/>
      <c r="G58" s="717"/>
      <c r="H58" s="718"/>
      <c r="I58" s="719"/>
      <c r="J58" s="719"/>
      <c r="K58" s="718"/>
      <c r="L58" s="720"/>
      <c r="M58" s="720"/>
      <c r="N58" s="721"/>
      <c r="O58" s="817"/>
      <c r="P58" s="549"/>
      <c r="Q58" s="549"/>
      <c r="S58" s="551"/>
      <c r="T58" s="549"/>
    </row>
    <row r="59" spans="1:20" s="550" customFormat="1" ht="15.75" hidden="1" customHeight="1">
      <c r="A59" s="816"/>
      <c r="B59" s="1360"/>
      <c r="C59" s="1361"/>
      <c r="D59" s="1362"/>
      <c r="E59" s="715"/>
      <c r="F59" s="716"/>
      <c r="G59" s="717"/>
      <c r="H59" s="718"/>
      <c r="I59" s="719"/>
      <c r="J59" s="719"/>
      <c r="K59" s="718"/>
      <c r="L59" s="720"/>
      <c r="M59" s="720"/>
      <c r="N59" s="721"/>
      <c r="O59" s="817"/>
      <c r="P59" s="549"/>
      <c r="Q59" s="549"/>
      <c r="S59" s="551"/>
      <c r="T59" s="549"/>
    </row>
    <row r="60" spans="1:20" s="550" customFormat="1" ht="15.75" hidden="1" customHeight="1">
      <c r="A60" s="816"/>
      <c r="B60" s="1360"/>
      <c r="C60" s="1361"/>
      <c r="D60" s="1362"/>
      <c r="E60" s="715"/>
      <c r="F60" s="716"/>
      <c r="G60" s="717"/>
      <c r="H60" s="718"/>
      <c r="I60" s="719"/>
      <c r="J60" s="719"/>
      <c r="K60" s="718"/>
      <c r="L60" s="720"/>
      <c r="M60" s="720"/>
      <c r="N60" s="721"/>
      <c r="O60" s="817"/>
      <c r="P60" s="549"/>
      <c r="Q60" s="549"/>
      <c r="S60" s="551"/>
      <c r="T60" s="549"/>
    </row>
    <row r="61" spans="1:20" s="550" customFormat="1" ht="15.75" hidden="1" customHeight="1">
      <c r="A61" s="816"/>
      <c r="B61" s="1360"/>
      <c r="C61" s="1361"/>
      <c r="D61" s="1362"/>
      <c r="E61" s="715"/>
      <c r="F61" s="716"/>
      <c r="G61" s="717"/>
      <c r="H61" s="718"/>
      <c r="I61" s="719"/>
      <c r="J61" s="719"/>
      <c r="K61" s="718"/>
      <c r="L61" s="720"/>
      <c r="M61" s="720"/>
      <c r="N61" s="721"/>
      <c r="O61" s="817"/>
      <c r="P61" s="549"/>
      <c r="Q61" s="549"/>
      <c r="S61" s="551"/>
      <c r="T61" s="549"/>
    </row>
    <row r="62" spans="1:20" s="550" customFormat="1" ht="15.75" hidden="1" customHeight="1">
      <c r="A62" s="816"/>
      <c r="B62" s="1360"/>
      <c r="C62" s="1361"/>
      <c r="D62" s="1362"/>
      <c r="E62" s="715"/>
      <c r="F62" s="716"/>
      <c r="G62" s="717"/>
      <c r="H62" s="718"/>
      <c r="I62" s="719"/>
      <c r="J62" s="719"/>
      <c r="K62" s="718"/>
      <c r="L62" s="720"/>
      <c r="M62" s="720"/>
      <c r="N62" s="721"/>
      <c r="O62" s="817"/>
      <c r="P62" s="549"/>
      <c r="Q62" s="549"/>
      <c r="S62" s="551"/>
      <c r="T62" s="549"/>
    </row>
    <row r="63" spans="1:20" s="550" customFormat="1" ht="15.75" hidden="1" customHeight="1">
      <c r="A63" s="816"/>
      <c r="B63" s="1360"/>
      <c r="C63" s="1361"/>
      <c r="D63" s="1362"/>
      <c r="E63" s="715"/>
      <c r="F63" s="716"/>
      <c r="G63" s="717"/>
      <c r="H63" s="718"/>
      <c r="I63" s="719"/>
      <c r="J63" s="719"/>
      <c r="K63" s="718"/>
      <c r="L63" s="720"/>
      <c r="M63" s="720"/>
      <c r="N63" s="721"/>
      <c r="O63" s="817"/>
      <c r="P63" s="549"/>
      <c r="Q63" s="549"/>
      <c r="S63" s="551"/>
      <c r="T63" s="549"/>
    </row>
    <row r="64" spans="1:20" s="550" customFormat="1" ht="15.75" hidden="1" customHeight="1">
      <c r="A64" s="816"/>
      <c r="B64" s="1360"/>
      <c r="C64" s="1361"/>
      <c r="D64" s="1362"/>
      <c r="E64" s="715"/>
      <c r="F64" s="716"/>
      <c r="G64" s="717"/>
      <c r="H64" s="718"/>
      <c r="I64" s="719"/>
      <c r="J64" s="719"/>
      <c r="K64" s="718"/>
      <c r="L64" s="720"/>
      <c r="M64" s="720"/>
      <c r="N64" s="721"/>
      <c r="O64" s="817"/>
      <c r="P64" s="549"/>
      <c r="Q64" s="549"/>
      <c r="S64" s="551"/>
      <c r="T64" s="549"/>
    </row>
    <row r="65" spans="1:20" s="550" customFormat="1" ht="15.75" hidden="1" customHeight="1">
      <c r="A65" s="816"/>
      <c r="B65" s="1360"/>
      <c r="C65" s="1361"/>
      <c r="D65" s="1362"/>
      <c r="E65" s="715"/>
      <c r="F65" s="716"/>
      <c r="G65" s="717"/>
      <c r="H65" s="718"/>
      <c r="I65" s="719"/>
      <c r="J65" s="719"/>
      <c r="K65" s="718"/>
      <c r="L65" s="720"/>
      <c r="M65" s="720"/>
      <c r="N65" s="721"/>
      <c r="O65" s="817"/>
      <c r="P65" s="549"/>
      <c r="Q65" s="549"/>
      <c r="S65" s="551"/>
      <c r="T65" s="549"/>
    </row>
    <row r="66" spans="1:20" s="550" customFormat="1" ht="15.75" hidden="1" customHeight="1">
      <c r="A66" s="816"/>
      <c r="B66" s="1360"/>
      <c r="C66" s="1361"/>
      <c r="D66" s="1362"/>
      <c r="E66" s="715"/>
      <c r="F66" s="716"/>
      <c r="G66" s="717"/>
      <c r="H66" s="718"/>
      <c r="I66" s="719"/>
      <c r="J66" s="719"/>
      <c r="K66" s="718"/>
      <c r="L66" s="720"/>
      <c r="M66" s="720"/>
      <c r="N66" s="721"/>
      <c r="O66" s="817"/>
      <c r="P66" s="549"/>
      <c r="Q66" s="549"/>
      <c r="S66" s="551"/>
      <c r="T66" s="549"/>
    </row>
    <row r="67" spans="1:20" s="550" customFormat="1" ht="15.75" hidden="1" customHeight="1">
      <c r="A67" s="816"/>
      <c r="B67" s="1360"/>
      <c r="C67" s="1361"/>
      <c r="D67" s="1362"/>
      <c r="E67" s="715"/>
      <c r="F67" s="716"/>
      <c r="G67" s="717"/>
      <c r="H67" s="718"/>
      <c r="I67" s="719"/>
      <c r="J67" s="719"/>
      <c r="K67" s="718"/>
      <c r="L67" s="720"/>
      <c r="M67" s="720"/>
      <c r="N67" s="721"/>
      <c r="O67" s="817"/>
      <c r="P67" s="549"/>
      <c r="Q67" s="549"/>
      <c r="S67" s="551"/>
      <c r="T67" s="549"/>
    </row>
    <row r="68" spans="1:20" s="550" customFormat="1" ht="15.75" hidden="1" customHeight="1">
      <c r="A68" s="816"/>
      <c r="B68" s="1360"/>
      <c r="C68" s="1361"/>
      <c r="D68" s="1362"/>
      <c r="E68" s="715"/>
      <c r="F68" s="716"/>
      <c r="G68" s="717"/>
      <c r="H68" s="718"/>
      <c r="I68" s="719"/>
      <c r="J68" s="719"/>
      <c r="K68" s="718"/>
      <c r="L68" s="720"/>
      <c r="M68" s="720"/>
      <c r="N68" s="721"/>
      <c r="O68" s="817"/>
      <c r="P68" s="549"/>
      <c r="Q68" s="549"/>
      <c r="S68" s="551"/>
      <c r="T68" s="549"/>
    </row>
    <row r="69" spans="1:20" s="550" customFormat="1" ht="15.75" hidden="1" customHeight="1">
      <c r="A69" s="816"/>
      <c r="B69" s="1365"/>
      <c r="C69" s="1366"/>
      <c r="D69" s="1367"/>
      <c r="E69" s="715"/>
      <c r="F69" s="716"/>
      <c r="G69" s="717"/>
      <c r="H69" s="718"/>
      <c r="I69" s="719"/>
      <c r="J69" s="719"/>
      <c r="K69" s="718"/>
      <c r="L69" s="720"/>
      <c r="M69" s="720"/>
      <c r="N69" s="721"/>
      <c r="O69" s="817"/>
      <c r="P69" s="549"/>
      <c r="Q69" s="549"/>
      <c r="S69" s="551"/>
      <c r="T69" s="549"/>
    </row>
    <row r="70" spans="1:20" s="729" customFormat="1" ht="25.5" customHeight="1">
      <c r="A70" s="818"/>
      <c r="B70" s="724"/>
      <c r="C70" s="724"/>
      <c r="D70" s="724"/>
      <c r="E70" s="725"/>
      <c r="F70" s="725"/>
      <c r="G70" s="725"/>
      <c r="H70" s="725"/>
      <c r="I70" s="725"/>
      <c r="J70" s="725"/>
      <c r="K70" s="725"/>
      <c r="L70" s="726"/>
      <c r="M70" s="726"/>
      <c r="N70" s="726"/>
      <c r="O70" s="819"/>
      <c r="P70" s="728"/>
      <c r="Q70" s="728"/>
    </row>
    <row r="71" spans="1:20" s="729" customFormat="1" ht="25.5" customHeight="1">
      <c r="A71" s="818"/>
      <c r="B71" s="724"/>
      <c r="C71" s="724"/>
      <c r="D71" s="724"/>
      <c r="E71" s="730"/>
      <c r="F71" s="730"/>
      <c r="G71" s="730"/>
      <c r="H71" s="730"/>
      <c r="I71" s="730"/>
      <c r="J71" s="730"/>
      <c r="K71" s="730"/>
      <c r="L71" s="731"/>
      <c r="M71" s="731"/>
      <c r="N71" s="731"/>
      <c r="O71" s="819"/>
      <c r="P71" s="728"/>
      <c r="Q71" s="728"/>
    </row>
    <row r="72" spans="1:20" s="729" customFormat="1" ht="25.5" customHeight="1">
      <c r="A72" s="818"/>
      <c r="B72" s="724"/>
      <c r="C72" s="724"/>
      <c r="D72" s="730"/>
      <c r="E72" s="730"/>
      <c r="F72" s="730"/>
      <c r="G72" s="730"/>
      <c r="H72" s="730"/>
      <c r="I72" s="730"/>
      <c r="J72" s="730"/>
      <c r="K72" s="730"/>
      <c r="L72" s="732"/>
      <c r="M72" s="732"/>
      <c r="N72" s="733"/>
      <c r="O72" s="820"/>
    </row>
    <row r="73" spans="1:20" s="729" customFormat="1" ht="25.5" customHeight="1">
      <c r="A73" s="818"/>
      <c r="B73" s="724"/>
      <c r="C73" s="724"/>
      <c r="D73" s="1368"/>
      <c r="E73" s="1368"/>
      <c r="F73" s="1368"/>
      <c r="G73" s="1368"/>
      <c r="H73" s="735"/>
      <c r="I73" s="736"/>
      <c r="J73" s="737" t="s">
        <v>1046</v>
      </c>
      <c r="K73" s="738"/>
      <c r="L73" s="739"/>
      <c r="M73" s="1369" t="s">
        <v>1047</v>
      </c>
      <c r="N73" s="1369"/>
      <c r="O73" s="1370"/>
    </row>
    <row r="74" spans="1:20" s="729" customFormat="1" ht="25.5" customHeight="1">
      <c r="A74" s="818"/>
      <c r="B74" s="724"/>
      <c r="C74" s="724"/>
      <c r="D74" s="1371" t="s">
        <v>1037</v>
      </c>
      <c r="E74" s="1371"/>
      <c r="F74" s="1371"/>
      <c r="G74" s="1371"/>
      <c r="H74" s="735"/>
      <c r="I74" s="740"/>
      <c r="J74" s="782" t="s">
        <v>1038</v>
      </c>
      <c r="K74" s="739"/>
      <c r="L74" s="739"/>
      <c r="M74" s="1363" t="s">
        <v>466</v>
      </c>
      <c r="N74" s="1363"/>
      <c r="O74" s="1364"/>
    </row>
    <row r="75" spans="1:20" s="729" customFormat="1" ht="18.75">
      <c r="A75" s="818"/>
      <c r="B75" s="724"/>
      <c r="C75" s="724"/>
      <c r="D75" s="1371"/>
      <c r="E75" s="1371"/>
      <c r="F75" s="1371"/>
      <c r="G75" s="1371"/>
      <c r="H75" s="735"/>
      <c r="I75" s="740"/>
      <c r="J75" s="782"/>
      <c r="K75" s="739"/>
      <c r="L75" s="739"/>
      <c r="M75" s="1363"/>
      <c r="N75" s="1363"/>
      <c r="O75" s="1364"/>
    </row>
    <row r="76" spans="1:20" s="729" customFormat="1" ht="25.5" customHeight="1">
      <c r="A76" s="818"/>
      <c r="B76" s="724"/>
      <c r="C76" s="724"/>
      <c r="D76" s="724"/>
      <c r="E76" s="781"/>
      <c r="F76" s="781"/>
      <c r="G76" s="743"/>
      <c r="H76" s="735"/>
      <c r="I76" s="740"/>
      <c r="J76" s="782"/>
      <c r="K76" s="739"/>
      <c r="L76" s="739"/>
      <c r="M76" s="782"/>
      <c r="N76" s="782"/>
      <c r="O76" s="821"/>
    </row>
    <row r="77" spans="1:20" s="729" customFormat="1" ht="15.75" customHeight="1">
      <c r="A77" s="818"/>
      <c r="B77" s="724"/>
      <c r="C77" s="724"/>
      <c r="D77" s="724"/>
      <c r="E77" s="781"/>
      <c r="F77" s="781"/>
      <c r="G77" s="743"/>
      <c r="H77" s="735"/>
      <c r="I77" s="740"/>
      <c r="J77" s="782"/>
      <c r="K77" s="739"/>
      <c r="L77" s="739"/>
      <c r="M77" s="782"/>
      <c r="N77" s="782"/>
      <c r="O77" s="821"/>
    </row>
    <row r="78" spans="1:20" s="729" customFormat="1" ht="15.75" customHeight="1">
      <c r="A78" s="818"/>
      <c r="B78" s="724"/>
      <c r="C78" s="724"/>
      <c r="D78" s="724"/>
      <c r="E78" s="781"/>
      <c r="F78" s="781"/>
      <c r="G78" s="743"/>
      <c r="H78" s="735"/>
      <c r="I78" s="740"/>
      <c r="J78" s="782"/>
      <c r="K78" s="739"/>
      <c r="L78" s="739"/>
      <c r="M78" s="782"/>
      <c r="N78" s="782"/>
      <c r="O78" s="821"/>
    </row>
    <row r="79" spans="1:20" s="729" customFormat="1" ht="26.25" customHeight="1">
      <c r="A79" s="1256" t="s">
        <v>1149</v>
      </c>
      <c r="B79" s="1256"/>
      <c r="C79" s="1256"/>
      <c r="D79" s="1256"/>
      <c r="E79" s="781"/>
      <c r="F79" s="781"/>
      <c r="G79" s="743"/>
      <c r="H79" s="735"/>
      <c r="I79" s="736"/>
      <c r="J79" s="737" t="s">
        <v>1048</v>
      </c>
      <c r="K79" s="738"/>
      <c r="L79" s="739"/>
      <c r="M79" s="782"/>
      <c r="N79" s="782"/>
      <c r="O79" s="821"/>
    </row>
    <row r="80" spans="1:20" s="729" customFormat="1" ht="25.5" customHeight="1">
      <c r="A80" s="1256" t="s">
        <v>1150</v>
      </c>
      <c r="B80" s="1256"/>
      <c r="C80" s="1256"/>
      <c r="D80" s="1256"/>
      <c r="E80" s="781"/>
      <c r="F80" s="781"/>
      <c r="G80" s="743"/>
      <c r="H80" s="735"/>
      <c r="I80" s="740"/>
      <c r="J80" s="782" t="s">
        <v>1039</v>
      </c>
      <c r="K80" s="739"/>
      <c r="L80" s="739"/>
      <c r="M80" s="782"/>
      <c r="N80" s="782"/>
      <c r="O80" s="821"/>
    </row>
    <row r="81" spans="1:15" ht="25.5" customHeight="1">
      <c r="A81" s="1257" t="s">
        <v>1151</v>
      </c>
      <c r="B81" s="1257"/>
      <c r="C81" s="1257"/>
      <c r="D81" s="1257"/>
      <c r="E81" s="822"/>
      <c r="F81" s="822"/>
      <c r="G81" s="823"/>
      <c r="H81" s="824"/>
      <c r="I81" s="825"/>
      <c r="J81" s="826" t="s">
        <v>1040</v>
      </c>
      <c r="K81" s="827"/>
      <c r="L81" s="827"/>
      <c r="M81" s="826"/>
      <c r="N81" s="826"/>
      <c r="O81" s="828"/>
    </row>
    <row r="82" spans="1:15" ht="25.5" customHeight="1">
      <c r="E82" s="758"/>
      <c r="F82" s="758"/>
      <c r="G82" s="759"/>
      <c r="H82" s="760"/>
      <c r="I82" s="761"/>
      <c r="J82" s="761"/>
      <c r="K82" s="761"/>
      <c r="L82" s="762"/>
      <c r="M82" s="763"/>
      <c r="N82" s="763"/>
      <c r="O82" s="763"/>
    </row>
    <row r="83" spans="1:15" ht="25.5" customHeight="1">
      <c r="G83" s="765"/>
      <c r="H83" s="766"/>
      <c r="I83" s="765"/>
      <c r="J83" s="765"/>
      <c r="K83" s="766"/>
      <c r="L83" s="767"/>
      <c r="M83" s="767"/>
      <c r="N83" s="767"/>
    </row>
    <row r="84" spans="1:15">
      <c r="G84" s="765"/>
      <c r="H84" s="766"/>
      <c r="I84" s="765"/>
      <c r="J84" s="765"/>
      <c r="K84" s="766"/>
      <c r="L84" s="767"/>
      <c r="M84" s="767"/>
      <c r="N84" s="767"/>
    </row>
  </sheetData>
  <mergeCells count="103">
    <mergeCell ref="A79:D79"/>
    <mergeCell ref="A80:D80"/>
    <mergeCell ref="A81:D81"/>
    <mergeCell ref="B61:D61"/>
    <mergeCell ref="B62:D62"/>
    <mergeCell ref="B63:D63"/>
    <mergeCell ref="A1:D4"/>
    <mergeCell ref="A20:B20"/>
    <mergeCell ref="A21:B21"/>
    <mergeCell ref="A22:B22"/>
    <mergeCell ref="A23:B23"/>
    <mergeCell ref="B48:D48"/>
    <mergeCell ref="B38:D38"/>
    <mergeCell ref="B43:D43"/>
    <mergeCell ref="B44:D44"/>
    <mergeCell ref="B45:D45"/>
    <mergeCell ref="B46:D46"/>
    <mergeCell ref="B47:D47"/>
    <mergeCell ref="B60:D60"/>
    <mergeCell ref="B64:D64"/>
    <mergeCell ref="B65:D65"/>
    <mergeCell ref="D75:G75"/>
    <mergeCell ref="B59:D59"/>
    <mergeCell ref="E38:G38"/>
    <mergeCell ref="M75:O75"/>
    <mergeCell ref="B67:D67"/>
    <mergeCell ref="B68:D68"/>
    <mergeCell ref="B69:D69"/>
    <mergeCell ref="D73:G73"/>
    <mergeCell ref="M73:O73"/>
    <mergeCell ref="D74:G74"/>
    <mergeCell ref="M74:O74"/>
    <mergeCell ref="B66:D66"/>
    <mergeCell ref="B39:D39"/>
    <mergeCell ref="B40:D40"/>
    <mergeCell ref="B41:D41"/>
    <mergeCell ref="B42:D42"/>
    <mergeCell ref="B54:D54"/>
    <mergeCell ref="B55:D55"/>
    <mergeCell ref="B56:D56"/>
    <mergeCell ref="B57:D57"/>
    <mergeCell ref="B58:D58"/>
    <mergeCell ref="B49:D49"/>
    <mergeCell ref="B50:D50"/>
    <mergeCell ref="B51:D51"/>
    <mergeCell ref="B52:D52"/>
    <mergeCell ref="B53:D53"/>
    <mergeCell ref="B37:D37"/>
    <mergeCell ref="F34:G34"/>
    <mergeCell ref="I34:J34"/>
    <mergeCell ref="B35:D35"/>
    <mergeCell ref="B36:D36"/>
    <mergeCell ref="B33:D33"/>
    <mergeCell ref="B34:D34"/>
    <mergeCell ref="B32:D32"/>
    <mergeCell ref="F20:G20"/>
    <mergeCell ref="O20:O30"/>
    <mergeCell ref="B30:D30"/>
    <mergeCell ref="B31:D31"/>
    <mergeCell ref="A25:B25"/>
    <mergeCell ref="A29:B29"/>
    <mergeCell ref="A24:B24"/>
    <mergeCell ref="A26:E26"/>
    <mergeCell ref="A27:B27"/>
    <mergeCell ref="A28:E28"/>
    <mergeCell ref="E18:E19"/>
    <mergeCell ref="B15:D16"/>
    <mergeCell ref="E15:G15"/>
    <mergeCell ref="H15:N15"/>
    <mergeCell ref="E16:F16"/>
    <mergeCell ref="G16:N16"/>
    <mergeCell ref="B17:D17"/>
    <mergeCell ref="E17:F17"/>
    <mergeCell ref="G17:N17"/>
    <mergeCell ref="A19:D19"/>
    <mergeCell ref="A18:B18"/>
    <mergeCell ref="F18:H18"/>
    <mergeCell ref="I18:K18"/>
    <mergeCell ref="L18:N18"/>
    <mergeCell ref="F19:G19"/>
    <mergeCell ref="E11:F11"/>
    <mergeCell ref="I11:J11"/>
    <mergeCell ref="O11:O14"/>
    <mergeCell ref="E12:F12"/>
    <mergeCell ref="I12:J12"/>
    <mergeCell ref="E13:F13"/>
    <mergeCell ref="I13:J13"/>
    <mergeCell ref="L13:M13"/>
    <mergeCell ref="E14:G14"/>
    <mergeCell ref="H14:N14"/>
    <mergeCell ref="L11:N11"/>
    <mergeCell ref="E1:F1"/>
    <mergeCell ref="H1:N2"/>
    <mergeCell ref="E2:F2"/>
    <mergeCell ref="E3:F3"/>
    <mergeCell ref="H3:N10"/>
    <mergeCell ref="E4:F4"/>
    <mergeCell ref="E5:F5"/>
    <mergeCell ref="E6:F6"/>
    <mergeCell ref="E7:F7"/>
    <mergeCell ref="E8:F8"/>
    <mergeCell ref="E9:F9"/>
    <mergeCell ref="E10:F10"/>
  </mergeCells>
  <printOptions horizontalCentered="1"/>
  <pageMargins left="0.70866141732283472" right="0.70866141732283472" top="0.74803149606299213" bottom="0.74803149606299213" header="0.31496062992125984" footer="0.31496062992125984"/>
  <pageSetup paperSize="5" scale="48" fitToHeight="0" orientation="landscape" r:id="rId1"/>
  <headerFooter>
    <oddFooter xml:space="preserve">&amp;RPágina  &amp;P DE &amp;N              </oddFooter>
  </headerFooter>
  <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tabColor rgb="FFFF0000"/>
  </sheetPr>
  <dimension ref="A1:T358"/>
  <sheetViews>
    <sheetView showGridLines="0" view="pageBreakPreview" topLeftCell="A187" zoomScaleNormal="84" zoomScaleSheetLayoutView="100" workbookViewId="0">
      <selection activeCell="B306" sqref="B306:D306"/>
    </sheetView>
  </sheetViews>
  <sheetFormatPr baseColWidth="10" defaultRowHeight="15.75"/>
  <cols>
    <col min="1" max="1" width="7.5703125" style="757" customWidth="1"/>
    <col min="2" max="2" width="13.140625" style="483" customWidth="1"/>
    <col min="3" max="3" width="13.7109375" style="483" customWidth="1"/>
    <col min="4" max="4" width="31.42578125" style="483" customWidth="1"/>
    <col min="5" max="5" width="12" style="764" customWidth="1"/>
    <col min="6" max="6" width="24" style="483" customWidth="1"/>
    <col min="7" max="7" width="19.42578125" style="768" customWidth="1"/>
    <col min="8" max="8" width="23.5703125" style="483" customWidth="1"/>
    <col min="9" max="9" width="11" style="768" customWidth="1"/>
    <col min="10" max="10" width="15.5703125" style="768" customWidth="1"/>
    <col min="11" max="11" width="23.28515625" style="483" customWidth="1"/>
    <col min="12" max="12" width="12.28515625" style="769" customWidth="1"/>
    <col min="13" max="13" width="18.5703125" style="769" bestFit="1" customWidth="1"/>
    <col min="14" max="14" width="19.85546875" style="769" bestFit="1" customWidth="1"/>
    <col min="15" max="15" width="98.28515625" style="483" customWidth="1"/>
    <col min="16" max="16" width="17.28515625" style="483" bestFit="1" customWidth="1"/>
    <col min="17" max="17" width="18" style="483" bestFit="1" customWidth="1"/>
    <col min="18" max="253" width="11.42578125" style="483"/>
    <col min="254" max="254" width="8.140625" style="483" customWidth="1"/>
    <col min="255" max="255" width="13.140625" style="483" customWidth="1"/>
    <col min="256" max="256" width="13.7109375" style="483" customWidth="1"/>
    <col min="257" max="257" width="31.42578125" style="483" customWidth="1"/>
    <col min="258" max="258" width="8.7109375" style="483" customWidth="1"/>
    <col min="259" max="259" width="11.85546875" style="483" customWidth="1"/>
    <col min="260" max="260" width="17.7109375" style="483" customWidth="1"/>
    <col min="261" max="261" width="18.7109375" style="483" customWidth="1"/>
    <col min="262" max="262" width="14" style="483" customWidth="1"/>
    <col min="263" max="263" width="17.7109375" style="483" customWidth="1"/>
    <col min="264" max="264" width="13.28515625" style="483" customWidth="1"/>
    <col min="265" max="265" width="13.85546875" style="483" customWidth="1"/>
    <col min="266" max="266" width="15.140625" style="483" customWidth="1"/>
    <col min="267" max="267" width="14.28515625" style="483" customWidth="1"/>
    <col min="268" max="268" width="18.42578125" style="483" customWidth="1"/>
    <col min="269" max="269" width="15.140625" style="483" customWidth="1"/>
    <col min="270" max="270" width="20.5703125" style="483" customWidth="1"/>
    <col min="271" max="271" width="13.5703125" style="483" bestFit="1" customWidth="1"/>
    <col min="272" max="272" width="13.7109375" style="483" bestFit="1" customWidth="1"/>
    <col min="273" max="273" width="12.28515625" style="483" bestFit="1" customWidth="1"/>
    <col min="274" max="509" width="11.42578125" style="483"/>
    <col min="510" max="510" width="8.140625" style="483" customWidth="1"/>
    <col min="511" max="511" width="13.140625" style="483" customWidth="1"/>
    <col min="512" max="512" width="13.7109375" style="483" customWidth="1"/>
    <col min="513" max="513" width="31.42578125" style="483" customWidth="1"/>
    <col min="514" max="514" width="8.7109375" style="483" customWidth="1"/>
    <col min="515" max="515" width="11.85546875" style="483" customWidth="1"/>
    <col min="516" max="516" width="17.7109375" style="483" customWidth="1"/>
    <col min="517" max="517" width="18.7109375" style="483" customWidth="1"/>
    <col min="518" max="518" width="14" style="483" customWidth="1"/>
    <col min="519" max="519" width="17.7109375" style="483" customWidth="1"/>
    <col min="520" max="520" width="13.28515625" style="483" customWidth="1"/>
    <col min="521" max="521" width="13.85546875" style="483" customWidth="1"/>
    <col min="522" max="522" width="15.140625" style="483" customWidth="1"/>
    <col min="523" max="523" width="14.28515625" style="483" customWidth="1"/>
    <col min="524" max="524" width="18.42578125" style="483" customWidth="1"/>
    <col min="525" max="525" width="15.140625" style="483" customWidth="1"/>
    <col min="526" max="526" width="20.5703125" style="483" customWidth="1"/>
    <col min="527" max="527" width="13.5703125" style="483" bestFit="1" customWidth="1"/>
    <col min="528" max="528" width="13.7109375" style="483" bestFit="1" customWidth="1"/>
    <col min="529" max="529" width="12.28515625" style="483" bestFit="1" customWidth="1"/>
    <col min="530" max="765" width="11.42578125" style="483"/>
    <col min="766" max="766" width="8.140625" style="483" customWidth="1"/>
    <col min="767" max="767" width="13.140625" style="483" customWidth="1"/>
    <col min="768" max="768" width="13.7109375" style="483" customWidth="1"/>
    <col min="769" max="769" width="31.42578125" style="483" customWidth="1"/>
    <col min="770" max="770" width="8.7109375" style="483" customWidth="1"/>
    <col min="771" max="771" width="11.85546875" style="483" customWidth="1"/>
    <col min="772" max="772" width="17.7109375" style="483" customWidth="1"/>
    <col min="773" max="773" width="18.7109375" style="483" customWidth="1"/>
    <col min="774" max="774" width="14" style="483" customWidth="1"/>
    <col min="775" max="775" width="17.7109375" style="483" customWidth="1"/>
    <col min="776" max="776" width="13.28515625" style="483" customWidth="1"/>
    <col min="777" max="777" width="13.85546875" style="483" customWidth="1"/>
    <col min="778" max="778" width="15.140625" style="483" customWidth="1"/>
    <col min="779" max="779" width="14.28515625" style="483" customWidth="1"/>
    <col min="780" max="780" width="18.42578125" style="483" customWidth="1"/>
    <col min="781" max="781" width="15.140625" style="483" customWidth="1"/>
    <col min="782" max="782" width="20.5703125" style="483" customWidth="1"/>
    <col min="783" max="783" width="13.5703125" style="483" bestFit="1" customWidth="1"/>
    <col min="784" max="784" width="13.7109375" style="483" bestFit="1" customWidth="1"/>
    <col min="785" max="785" width="12.28515625" style="483" bestFit="1" customWidth="1"/>
    <col min="786" max="1021" width="11.42578125" style="483"/>
    <col min="1022" max="1022" width="8.140625" style="483" customWidth="1"/>
    <col min="1023" max="1023" width="13.140625" style="483" customWidth="1"/>
    <col min="1024" max="1024" width="13.7109375" style="483" customWidth="1"/>
    <col min="1025" max="1025" width="31.42578125" style="483" customWidth="1"/>
    <col min="1026" max="1026" width="8.7109375" style="483" customWidth="1"/>
    <col min="1027" max="1027" width="11.85546875" style="483" customWidth="1"/>
    <col min="1028" max="1028" width="17.7109375" style="483" customWidth="1"/>
    <col min="1029" max="1029" width="18.7109375" style="483" customWidth="1"/>
    <col min="1030" max="1030" width="14" style="483" customWidth="1"/>
    <col min="1031" max="1031" width="17.7109375" style="483" customWidth="1"/>
    <col min="1032" max="1032" width="13.28515625" style="483" customWidth="1"/>
    <col min="1033" max="1033" width="13.85546875" style="483" customWidth="1"/>
    <col min="1034" max="1034" width="15.140625" style="483" customWidth="1"/>
    <col min="1035" max="1035" width="14.28515625" style="483" customWidth="1"/>
    <col min="1036" max="1036" width="18.42578125" style="483" customWidth="1"/>
    <col min="1037" max="1037" width="15.140625" style="483" customWidth="1"/>
    <col min="1038" max="1038" width="20.5703125" style="483" customWidth="1"/>
    <col min="1039" max="1039" width="13.5703125" style="483" bestFit="1" customWidth="1"/>
    <col min="1040" max="1040" width="13.7109375" style="483" bestFit="1" customWidth="1"/>
    <col min="1041" max="1041" width="12.28515625" style="483" bestFit="1" customWidth="1"/>
    <col min="1042" max="1277" width="11.42578125" style="483"/>
    <col min="1278" max="1278" width="8.140625" style="483" customWidth="1"/>
    <col min="1279" max="1279" width="13.140625" style="483" customWidth="1"/>
    <col min="1280" max="1280" width="13.7109375" style="483" customWidth="1"/>
    <col min="1281" max="1281" width="31.42578125" style="483" customWidth="1"/>
    <col min="1282" max="1282" width="8.7109375" style="483" customWidth="1"/>
    <col min="1283" max="1283" width="11.85546875" style="483" customWidth="1"/>
    <col min="1284" max="1284" width="17.7109375" style="483" customWidth="1"/>
    <col min="1285" max="1285" width="18.7109375" style="483" customWidth="1"/>
    <col min="1286" max="1286" width="14" style="483" customWidth="1"/>
    <col min="1287" max="1287" width="17.7109375" style="483" customWidth="1"/>
    <col min="1288" max="1288" width="13.28515625" style="483" customWidth="1"/>
    <col min="1289" max="1289" width="13.85546875" style="483" customWidth="1"/>
    <col min="1290" max="1290" width="15.140625" style="483" customWidth="1"/>
    <col min="1291" max="1291" width="14.28515625" style="483" customWidth="1"/>
    <col min="1292" max="1292" width="18.42578125" style="483" customWidth="1"/>
    <col min="1293" max="1293" width="15.140625" style="483" customWidth="1"/>
    <col min="1294" max="1294" width="20.5703125" style="483" customWidth="1"/>
    <col min="1295" max="1295" width="13.5703125" style="483" bestFit="1" customWidth="1"/>
    <col min="1296" max="1296" width="13.7109375" style="483" bestFit="1" customWidth="1"/>
    <col min="1297" max="1297" width="12.28515625" style="483" bestFit="1" customWidth="1"/>
    <col min="1298" max="1533" width="11.42578125" style="483"/>
    <col min="1534" max="1534" width="8.140625" style="483" customWidth="1"/>
    <col min="1535" max="1535" width="13.140625" style="483" customWidth="1"/>
    <col min="1536" max="1536" width="13.7109375" style="483" customWidth="1"/>
    <col min="1537" max="1537" width="31.42578125" style="483" customWidth="1"/>
    <col min="1538" max="1538" width="8.7109375" style="483" customWidth="1"/>
    <col min="1539" max="1539" width="11.85546875" style="483" customWidth="1"/>
    <col min="1540" max="1540" width="17.7109375" style="483" customWidth="1"/>
    <col min="1541" max="1541" width="18.7109375" style="483" customWidth="1"/>
    <col min="1542" max="1542" width="14" style="483" customWidth="1"/>
    <col min="1543" max="1543" width="17.7109375" style="483" customWidth="1"/>
    <col min="1544" max="1544" width="13.28515625" style="483" customWidth="1"/>
    <col min="1545" max="1545" width="13.85546875" style="483" customWidth="1"/>
    <col min="1546" max="1546" width="15.140625" style="483" customWidth="1"/>
    <col min="1547" max="1547" width="14.28515625" style="483" customWidth="1"/>
    <col min="1548" max="1548" width="18.42578125" style="483" customWidth="1"/>
    <col min="1549" max="1549" width="15.140625" style="483" customWidth="1"/>
    <col min="1550" max="1550" width="20.5703125" style="483" customWidth="1"/>
    <col min="1551" max="1551" width="13.5703125" style="483" bestFit="1" customWidth="1"/>
    <col min="1552" max="1552" width="13.7109375" style="483" bestFit="1" customWidth="1"/>
    <col min="1553" max="1553" width="12.28515625" style="483" bestFit="1" customWidth="1"/>
    <col min="1554" max="1789" width="11.42578125" style="483"/>
    <col min="1790" max="1790" width="8.140625" style="483" customWidth="1"/>
    <col min="1791" max="1791" width="13.140625" style="483" customWidth="1"/>
    <col min="1792" max="1792" width="13.7109375" style="483" customWidth="1"/>
    <col min="1793" max="1793" width="31.42578125" style="483" customWidth="1"/>
    <col min="1794" max="1794" width="8.7109375" style="483" customWidth="1"/>
    <col min="1795" max="1795" width="11.85546875" style="483" customWidth="1"/>
    <col min="1796" max="1796" width="17.7109375" style="483" customWidth="1"/>
    <col min="1797" max="1797" width="18.7109375" style="483" customWidth="1"/>
    <col min="1798" max="1798" width="14" style="483" customWidth="1"/>
    <col min="1799" max="1799" width="17.7109375" style="483" customWidth="1"/>
    <col min="1800" max="1800" width="13.28515625" style="483" customWidth="1"/>
    <col min="1801" max="1801" width="13.85546875" style="483" customWidth="1"/>
    <col min="1802" max="1802" width="15.140625" style="483" customWidth="1"/>
    <col min="1803" max="1803" width="14.28515625" style="483" customWidth="1"/>
    <col min="1804" max="1804" width="18.42578125" style="483" customWidth="1"/>
    <col min="1805" max="1805" width="15.140625" style="483" customWidth="1"/>
    <col min="1806" max="1806" width="20.5703125" style="483" customWidth="1"/>
    <col min="1807" max="1807" width="13.5703125" style="483" bestFit="1" customWidth="1"/>
    <col min="1808" max="1808" width="13.7109375" style="483" bestFit="1" customWidth="1"/>
    <col min="1809" max="1809" width="12.28515625" style="483" bestFit="1" customWidth="1"/>
    <col min="1810" max="2045" width="11.42578125" style="483"/>
    <col min="2046" max="2046" width="8.140625" style="483" customWidth="1"/>
    <col min="2047" max="2047" width="13.140625" style="483" customWidth="1"/>
    <col min="2048" max="2048" width="13.7109375" style="483" customWidth="1"/>
    <col min="2049" max="2049" width="31.42578125" style="483" customWidth="1"/>
    <col min="2050" max="2050" width="8.7109375" style="483" customWidth="1"/>
    <col min="2051" max="2051" width="11.85546875" style="483" customWidth="1"/>
    <col min="2052" max="2052" width="17.7109375" style="483" customWidth="1"/>
    <col min="2053" max="2053" width="18.7109375" style="483" customWidth="1"/>
    <col min="2054" max="2054" width="14" style="483" customWidth="1"/>
    <col min="2055" max="2055" width="17.7109375" style="483" customWidth="1"/>
    <col min="2056" max="2056" width="13.28515625" style="483" customWidth="1"/>
    <col min="2057" max="2057" width="13.85546875" style="483" customWidth="1"/>
    <col min="2058" max="2058" width="15.140625" style="483" customWidth="1"/>
    <col min="2059" max="2059" width="14.28515625" style="483" customWidth="1"/>
    <col min="2060" max="2060" width="18.42578125" style="483" customWidth="1"/>
    <col min="2061" max="2061" width="15.140625" style="483" customWidth="1"/>
    <col min="2062" max="2062" width="20.5703125" style="483" customWidth="1"/>
    <col min="2063" max="2063" width="13.5703125" style="483" bestFit="1" customWidth="1"/>
    <col min="2064" max="2064" width="13.7109375" style="483" bestFit="1" customWidth="1"/>
    <col min="2065" max="2065" width="12.28515625" style="483" bestFit="1" customWidth="1"/>
    <col min="2066" max="2301" width="11.42578125" style="483"/>
    <col min="2302" max="2302" width="8.140625" style="483" customWidth="1"/>
    <col min="2303" max="2303" width="13.140625" style="483" customWidth="1"/>
    <col min="2304" max="2304" width="13.7109375" style="483" customWidth="1"/>
    <col min="2305" max="2305" width="31.42578125" style="483" customWidth="1"/>
    <col min="2306" max="2306" width="8.7109375" style="483" customWidth="1"/>
    <col min="2307" max="2307" width="11.85546875" style="483" customWidth="1"/>
    <col min="2308" max="2308" width="17.7109375" style="483" customWidth="1"/>
    <col min="2309" max="2309" width="18.7109375" style="483" customWidth="1"/>
    <col min="2310" max="2310" width="14" style="483" customWidth="1"/>
    <col min="2311" max="2311" width="17.7109375" style="483" customWidth="1"/>
    <col min="2312" max="2312" width="13.28515625" style="483" customWidth="1"/>
    <col min="2313" max="2313" width="13.85546875" style="483" customWidth="1"/>
    <col min="2314" max="2314" width="15.140625" style="483" customWidth="1"/>
    <col min="2315" max="2315" width="14.28515625" style="483" customWidth="1"/>
    <col min="2316" max="2316" width="18.42578125" style="483" customWidth="1"/>
    <col min="2317" max="2317" width="15.140625" style="483" customWidth="1"/>
    <col min="2318" max="2318" width="20.5703125" style="483" customWidth="1"/>
    <col min="2319" max="2319" width="13.5703125" style="483" bestFit="1" customWidth="1"/>
    <col min="2320" max="2320" width="13.7109375" style="483" bestFit="1" customWidth="1"/>
    <col min="2321" max="2321" width="12.28515625" style="483" bestFit="1" customWidth="1"/>
    <col min="2322" max="2557" width="11.42578125" style="483"/>
    <col min="2558" max="2558" width="8.140625" style="483" customWidth="1"/>
    <col min="2559" max="2559" width="13.140625" style="483" customWidth="1"/>
    <col min="2560" max="2560" width="13.7109375" style="483" customWidth="1"/>
    <col min="2561" max="2561" width="31.42578125" style="483" customWidth="1"/>
    <col min="2562" max="2562" width="8.7109375" style="483" customWidth="1"/>
    <col min="2563" max="2563" width="11.85546875" style="483" customWidth="1"/>
    <col min="2564" max="2564" width="17.7109375" style="483" customWidth="1"/>
    <col min="2565" max="2565" width="18.7109375" style="483" customWidth="1"/>
    <col min="2566" max="2566" width="14" style="483" customWidth="1"/>
    <col min="2567" max="2567" width="17.7109375" style="483" customWidth="1"/>
    <col min="2568" max="2568" width="13.28515625" style="483" customWidth="1"/>
    <col min="2569" max="2569" width="13.85546875" style="483" customWidth="1"/>
    <col min="2570" max="2570" width="15.140625" style="483" customWidth="1"/>
    <col min="2571" max="2571" width="14.28515625" style="483" customWidth="1"/>
    <col min="2572" max="2572" width="18.42578125" style="483" customWidth="1"/>
    <col min="2573" max="2573" width="15.140625" style="483" customWidth="1"/>
    <col min="2574" max="2574" width="20.5703125" style="483" customWidth="1"/>
    <col min="2575" max="2575" width="13.5703125" style="483" bestFit="1" customWidth="1"/>
    <col min="2576" max="2576" width="13.7109375" style="483" bestFit="1" customWidth="1"/>
    <col min="2577" max="2577" width="12.28515625" style="483" bestFit="1" customWidth="1"/>
    <col min="2578" max="2813" width="11.42578125" style="483"/>
    <col min="2814" max="2814" width="8.140625" style="483" customWidth="1"/>
    <col min="2815" max="2815" width="13.140625" style="483" customWidth="1"/>
    <col min="2816" max="2816" width="13.7109375" style="483" customWidth="1"/>
    <col min="2817" max="2817" width="31.42578125" style="483" customWidth="1"/>
    <col min="2818" max="2818" width="8.7109375" style="483" customWidth="1"/>
    <col min="2819" max="2819" width="11.85546875" style="483" customWidth="1"/>
    <col min="2820" max="2820" width="17.7109375" style="483" customWidth="1"/>
    <col min="2821" max="2821" width="18.7109375" style="483" customWidth="1"/>
    <col min="2822" max="2822" width="14" style="483" customWidth="1"/>
    <col min="2823" max="2823" width="17.7109375" style="483" customWidth="1"/>
    <col min="2824" max="2824" width="13.28515625" style="483" customWidth="1"/>
    <col min="2825" max="2825" width="13.85546875" style="483" customWidth="1"/>
    <col min="2826" max="2826" width="15.140625" style="483" customWidth="1"/>
    <col min="2827" max="2827" width="14.28515625" style="483" customWidth="1"/>
    <col min="2828" max="2828" width="18.42578125" style="483" customWidth="1"/>
    <col min="2829" max="2829" width="15.140625" style="483" customWidth="1"/>
    <col min="2830" max="2830" width="20.5703125" style="483" customWidth="1"/>
    <col min="2831" max="2831" width="13.5703125" style="483" bestFit="1" customWidth="1"/>
    <col min="2832" max="2832" width="13.7109375" style="483" bestFit="1" customWidth="1"/>
    <col min="2833" max="2833" width="12.28515625" style="483" bestFit="1" customWidth="1"/>
    <col min="2834" max="3069" width="11.42578125" style="483"/>
    <col min="3070" max="3070" width="8.140625" style="483" customWidth="1"/>
    <col min="3071" max="3071" width="13.140625" style="483" customWidth="1"/>
    <col min="3072" max="3072" width="13.7109375" style="483" customWidth="1"/>
    <col min="3073" max="3073" width="31.42578125" style="483" customWidth="1"/>
    <col min="3074" max="3074" width="8.7109375" style="483" customWidth="1"/>
    <col min="3075" max="3075" width="11.85546875" style="483" customWidth="1"/>
    <col min="3076" max="3076" width="17.7109375" style="483" customWidth="1"/>
    <col min="3077" max="3077" width="18.7109375" style="483" customWidth="1"/>
    <col min="3078" max="3078" width="14" style="483" customWidth="1"/>
    <col min="3079" max="3079" width="17.7109375" style="483" customWidth="1"/>
    <col min="3080" max="3080" width="13.28515625" style="483" customWidth="1"/>
    <col min="3081" max="3081" width="13.85546875" style="483" customWidth="1"/>
    <col min="3082" max="3082" width="15.140625" style="483" customWidth="1"/>
    <col min="3083" max="3083" width="14.28515625" style="483" customWidth="1"/>
    <col min="3084" max="3084" width="18.42578125" style="483" customWidth="1"/>
    <col min="3085" max="3085" width="15.140625" style="483" customWidth="1"/>
    <col min="3086" max="3086" width="20.5703125" style="483" customWidth="1"/>
    <col min="3087" max="3087" width="13.5703125" style="483" bestFit="1" customWidth="1"/>
    <col min="3088" max="3088" width="13.7109375" style="483" bestFit="1" customWidth="1"/>
    <col min="3089" max="3089" width="12.28515625" style="483" bestFit="1" customWidth="1"/>
    <col min="3090" max="3325" width="11.42578125" style="483"/>
    <col min="3326" max="3326" width="8.140625" style="483" customWidth="1"/>
    <col min="3327" max="3327" width="13.140625" style="483" customWidth="1"/>
    <col min="3328" max="3328" width="13.7109375" style="483" customWidth="1"/>
    <col min="3329" max="3329" width="31.42578125" style="483" customWidth="1"/>
    <col min="3330" max="3330" width="8.7109375" style="483" customWidth="1"/>
    <col min="3331" max="3331" width="11.85546875" style="483" customWidth="1"/>
    <col min="3332" max="3332" width="17.7109375" style="483" customWidth="1"/>
    <col min="3333" max="3333" width="18.7109375" style="483" customWidth="1"/>
    <col min="3334" max="3334" width="14" style="483" customWidth="1"/>
    <col min="3335" max="3335" width="17.7109375" style="483" customWidth="1"/>
    <col min="3336" max="3336" width="13.28515625" style="483" customWidth="1"/>
    <col min="3337" max="3337" width="13.85546875" style="483" customWidth="1"/>
    <col min="3338" max="3338" width="15.140625" style="483" customWidth="1"/>
    <col min="3339" max="3339" width="14.28515625" style="483" customWidth="1"/>
    <col min="3340" max="3340" width="18.42578125" style="483" customWidth="1"/>
    <col min="3341" max="3341" width="15.140625" style="483" customWidth="1"/>
    <col min="3342" max="3342" width="20.5703125" style="483" customWidth="1"/>
    <col min="3343" max="3343" width="13.5703125" style="483" bestFit="1" customWidth="1"/>
    <col min="3344" max="3344" width="13.7109375" style="483" bestFit="1" customWidth="1"/>
    <col min="3345" max="3345" width="12.28515625" style="483" bestFit="1" customWidth="1"/>
    <col min="3346" max="3581" width="11.42578125" style="483"/>
    <col min="3582" max="3582" width="8.140625" style="483" customWidth="1"/>
    <col min="3583" max="3583" width="13.140625" style="483" customWidth="1"/>
    <col min="3584" max="3584" width="13.7109375" style="483" customWidth="1"/>
    <col min="3585" max="3585" width="31.42578125" style="483" customWidth="1"/>
    <col min="3586" max="3586" width="8.7109375" style="483" customWidth="1"/>
    <col min="3587" max="3587" width="11.85546875" style="483" customWidth="1"/>
    <col min="3588" max="3588" width="17.7109375" style="483" customWidth="1"/>
    <col min="3589" max="3589" width="18.7109375" style="483" customWidth="1"/>
    <col min="3590" max="3590" width="14" style="483" customWidth="1"/>
    <col min="3591" max="3591" width="17.7109375" style="483" customWidth="1"/>
    <col min="3592" max="3592" width="13.28515625" style="483" customWidth="1"/>
    <col min="3593" max="3593" width="13.85546875" style="483" customWidth="1"/>
    <col min="3594" max="3594" width="15.140625" style="483" customWidth="1"/>
    <col min="3595" max="3595" width="14.28515625" style="483" customWidth="1"/>
    <col min="3596" max="3596" width="18.42578125" style="483" customWidth="1"/>
    <col min="3597" max="3597" width="15.140625" style="483" customWidth="1"/>
    <col min="3598" max="3598" width="20.5703125" style="483" customWidth="1"/>
    <col min="3599" max="3599" width="13.5703125" style="483" bestFit="1" customWidth="1"/>
    <col min="3600" max="3600" width="13.7109375" style="483" bestFit="1" customWidth="1"/>
    <col min="3601" max="3601" width="12.28515625" style="483" bestFit="1" customWidth="1"/>
    <col min="3602" max="3837" width="11.42578125" style="483"/>
    <col min="3838" max="3838" width="8.140625" style="483" customWidth="1"/>
    <col min="3839" max="3839" width="13.140625" style="483" customWidth="1"/>
    <col min="3840" max="3840" width="13.7109375" style="483" customWidth="1"/>
    <col min="3841" max="3841" width="31.42578125" style="483" customWidth="1"/>
    <col min="3842" max="3842" width="8.7109375" style="483" customWidth="1"/>
    <col min="3843" max="3843" width="11.85546875" style="483" customWidth="1"/>
    <col min="3844" max="3844" width="17.7109375" style="483" customWidth="1"/>
    <col min="3845" max="3845" width="18.7109375" style="483" customWidth="1"/>
    <col min="3846" max="3846" width="14" style="483" customWidth="1"/>
    <col min="3847" max="3847" width="17.7109375" style="483" customWidth="1"/>
    <col min="3848" max="3848" width="13.28515625" style="483" customWidth="1"/>
    <col min="3849" max="3849" width="13.85546875" style="483" customWidth="1"/>
    <col min="3850" max="3850" width="15.140625" style="483" customWidth="1"/>
    <col min="3851" max="3851" width="14.28515625" style="483" customWidth="1"/>
    <col min="3852" max="3852" width="18.42578125" style="483" customWidth="1"/>
    <col min="3853" max="3853" width="15.140625" style="483" customWidth="1"/>
    <col min="3854" max="3854" width="20.5703125" style="483" customWidth="1"/>
    <col min="3855" max="3855" width="13.5703125" style="483" bestFit="1" customWidth="1"/>
    <col min="3856" max="3856" width="13.7109375" style="483" bestFit="1" customWidth="1"/>
    <col min="3857" max="3857" width="12.28515625" style="483" bestFit="1" customWidth="1"/>
    <col min="3858" max="4093" width="11.42578125" style="483"/>
    <col min="4094" max="4094" width="8.140625" style="483" customWidth="1"/>
    <col min="4095" max="4095" width="13.140625" style="483" customWidth="1"/>
    <col min="4096" max="4096" width="13.7109375" style="483" customWidth="1"/>
    <col min="4097" max="4097" width="31.42578125" style="483" customWidth="1"/>
    <col min="4098" max="4098" width="8.7109375" style="483" customWidth="1"/>
    <col min="4099" max="4099" width="11.85546875" style="483" customWidth="1"/>
    <col min="4100" max="4100" width="17.7109375" style="483" customWidth="1"/>
    <col min="4101" max="4101" width="18.7109375" style="483" customWidth="1"/>
    <col min="4102" max="4102" width="14" style="483" customWidth="1"/>
    <col min="4103" max="4103" width="17.7109375" style="483" customWidth="1"/>
    <col min="4104" max="4104" width="13.28515625" style="483" customWidth="1"/>
    <col min="4105" max="4105" width="13.85546875" style="483" customWidth="1"/>
    <col min="4106" max="4106" width="15.140625" style="483" customWidth="1"/>
    <col min="4107" max="4107" width="14.28515625" style="483" customWidth="1"/>
    <col min="4108" max="4108" width="18.42578125" style="483" customWidth="1"/>
    <col min="4109" max="4109" width="15.140625" style="483" customWidth="1"/>
    <col min="4110" max="4110" width="20.5703125" style="483" customWidth="1"/>
    <col min="4111" max="4111" width="13.5703125" style="483" bestFit="1" customWidth="1"/>
    <col min="4112" max="4112" width="13.7109375" style="483" bestFit="1" customWidth="1"/>
    <col min="4113" max="4113" width="12.28515625" style="483" bestFit="1" customWidth="1"/>
    <col min="4114" max="4349" width="11.42578125" style="483"/>
    <col min="4350" max="4350" width="8.140625" style="483" customWidth="1"/>
    <col min="4351" max="4351" width="13.140625" style="483" customWidth="1"/>
    <col min="4352" max="4352" width="13.7109375" style="483" customWidth="1"/>
    <col min="4353" max="4353" width="31.42578125" style="483" customWidth="1"/>
    <col min="4354" max="4354" width="8.7109375" style="483" customWidth="1"/>
    <col min="4355" max="4355" width="11.85546875" style="483" customWidth="1"/>
    <col min="4356" max="4356" width="17.7109375" style="483" customWidth="1"/>
    <col min="4357" max="4357" width="18.7109375" style="483" customWidth="1"/>
    <col min="4358" max="4358" width="14" style="483" customWidth="1"/>
    <col min="4359" max="4359" width="17.7109375" style="483" customWidth="1"/>
    <col min="4360" max="4360" width="13.28515625" style="483" customWidth="1"/>
    <col min="4361" max="4361" width="13.85546875" style="483" customWidth="1"/>
    <col min="4362" max="4362" width="15.140625" style="483" customWidth="1"/>
    <col min="4363" max="4363" width="14.28515625" style="483" customWidth="1"/>
    <col min="4364" max="4364" width="18.42578125" style="483" customWidth="1"/>
    <col min="4365" max="4365" width="15.140625" style="483" customWidth="1"/>
    <col min="4366" max="4366" width="20.5703125" style="483" customWidth="1"/>
    <col min="4367" max="4367" width="13.5703125" style="483" bestFit="1" customWidth="1"/>
    <col min="4368" max="4368" width="13.7109375" style="483" bestFit="1" customWidth="1"/>
    <col min="4369" max="4369" width="12.28515625" style="483" bestFit="1" customWidth="1"/>
    <col min="4370" max="4605" width="11.42578125" style="483"/>
    <col min="4606" max="4606" width="8.140625" style="483" customWidth="1"/>
    <col min="4607" max="4607" width="13.140625" style="483" customWidth="1"/>
    <col min="4608" max="4608" width="13.7109375" style="483" customWidth="1"/>
    <col min="4609" max="4609" width="31.42578125" style="483" customWidth="1"/>
    <col min="4610" max="4610" width="8.7109375" style="483" customWidth="1"/>
    <col min="4611" max="4611" width="11.85546875" style="483" customWidth="1"/>
    <col min="4612" max="4612" width="17.7109375" style="483" customWidth="1"/>
    <col min="4613" max="4613" width="18.7109375" style="483" customWidth="1"/>
    <col min="4614" max="4614" width="14" style="483" customWidth="1"/>
    <col min="4615" max="4615" width="17.7109375" style="483" customWidth="1"/>
    <col min="4616" max="4616" width="13.28515625" style="483" customWidth="1"/>
    <col min="4617" max="4617" width="13.85546875" style="483" customWidth="1"/>
    <col min="4618" max="4618" width="15.140625" style="483" customWidth="1"/>
    <col min="4619" max="4619" width="14.28515625" style="483" customWidth="1"/>
    <col min="4620" max="4620" width="18.42578125" style="483" customWidth="1"/>
    <col min="4621" max="4621" width="15.140625" style="483" customWidth="1"/>
    <col min="4622" max="4622" width="20.5703125" style="483" customWidth="1"/>
    <col min="4623" max="4623" width="13.5703125" style="483" bestFit="1" customWidth="1"/>
    <col min="4624" max="4624" width="13.7109375" style="483" bestFit="1" customWidth="1"/>
    <col min="4625" max="4625" width="12.28515625" style="483" bestFit="1" customWidth="1"/>
    <col min="4626" max="4861" width="11.42578125" style="483"/>
    <col min="4862" max="4862" width="8.140625" style="483" customWidth="1"/>
    <col min="4863" max="4863" width="13.140625" style="483" customWidth="1"/>
    <col min="4864" max="4864" width="13.7109375" style="483" customWidth="1"/>
    <col min="4865" max="4865" width="31.42578125" style="483" customWidth="1"/>
    <col min="4866" max="4866" width="8.7109375" style="483" customWidth="1"/>
    <col min="4867" max="4867" width="11.85546875" style="483" customWidth="1"/>
    <col min="4868" max="4868" width="17.7109375" style="483" customWidth="1"/>
    <col min="4869" max="4869" width="18.7109375" style="483" customWidth="1"/>
    <col min="4870" max="4870" width="14" style="483" customWidth="1"/>
    <col min="4871" max="4871" width="17.7109375" style="483" customWidth="1"/>
    <col min="4872" max="4872" width="13.28515625" style="483" customWidth="1"/>
    <col min="4873" max="4873" width="13.85546875" style="483" customWidth="1"/>
    <col min="4874" max="4874" width="15.140625" style="483" customWidth="1"/>
    <col min="4875" max="4875" width="14.28515625" style="483" customWidth="1"/>
    <col min="4876" max="4876" width="18.42578125" style="483" customWidth="1"/>
    <col min="4877" max="4877" width="15.140625" style="483" customWidth="1"/>
    <col min="4878" max="4878" width="20.5703125" style="483" customWidth="1"/>
    <col min="4879" max="4879" width="13.5703125" style="483" bestFit="1" customWidth="1"/>
    <col min="4880" max="4880" width="13.7109375" style="483" bestFit="1" customWidth="1"/>
    <col min="4881" max="4881" width="12.28515625" style="483" bestFit="1" customWidth="1"/>
    <col min="4882" max="5117" width="11.42578125" style="483"/>
    <col min="5118" max="5118" width="8.140625" style="483" customWidth="1"/>
    <col min="5119" max="5119" width="13.140625" style="483" customWidth="1"/>
    <col min="5120" max="5120" width="13.7109375" style="483" customWidth="1"/>
    <col min="5121" max="5121" width="31.42578125" style="483" customWidth="1"/>
    <col min="5122" max="5122" width="8.7109375" style="483" customWidth="1"/>
    <col min="5123" max="5123" width="11.85546875" style="483" customWidth="1"/>
    <col min="5124" max="5124" width="17.7109375" style="483" customWidth="1"/>
    <col min="5125" max="5125" width="18.7109375" style="483" customWidth="1"/>
    <col min="5126" max="5126" width="14" style="483" customWidth="1"/>
    <col min="5127" max="5127" width="17.7109375" style="483" customWidth="1"/>
    <col min="5128" max="5128" width="13.28515625" style="483" customWidth="1"/>
    <col min="5129" max="5129" width="13.85546875" style="483" customWidth="1"/>
    <col min="5130" max="5130" width="15.140625" style="483" customWidth="1"/>
    <col min="5131" max="5131" width="14.28515625" style="483" customWidth="1"/>
    <col min="5132" max="5132" width="18.42578125" style="483" customWidth="1"/>
    <col min="5133" max="5133" width="15.140625" style="483" customWidth="1"/>
    <col min="5134" max="5134" width="20.5703125" style="483" customWidth="1"/>
    <col min="5135" max="5135" width="13.5703125" style="483" bestFit="1" customWidth="1"/>
    <col min="5136" max="5136" width="13.7109375" style="483" bestFit="1" customWidth="1"/>
    <col min="5137" max="5137" width="12.28515625" style="483" bestFit="1" customWidth="1"/>
    <col min="5138" max="5373" width="11.42578125" style="483"/>
    <col min="5374" max="5374" width="8.140625" style="483" customWidth="1"/>
    <col min="5375" max="5375" width="13.140625" style="483" customWidth="1"/>
    <col min="5376" max="5376" width="13.7109375" style="483" customWidth="1"/>
    <col min="5377" max="5377" width="31.42578125" style="483" customWidth="1"/>
    <col min="5378" max="5378" width="8.7109375" style="483" customWidth="1"/>
    <col min="5379" max="5379" width="11.85546875" style="483" customWidth="1"/>
    <col min="5380" max="5380" width="17.7109375" style="483" customWidth="1"/>
    <col min="5381" max="5381" width="18.7109375" style="483" customWidth="1"/>
    <col min="5382" max="5382" width="14" style="483" customWidth="1"/>
    <col min="5383" max="5383" width="17.7109375" style="483" customWidth="1"/>
    <col min="5384" max="5384" width="13.28515625" style="483" customWidth="1"/>
    <col min="5385" max="5385" width="13.85546875" style="483" customWidth="1"/>
    <col min="5386" max="5386" width="15.140625" style="483" customWidth="1"/>
    <col min="5387" max="5387" width="14.28515625" style="483" customWidth="1"/>
    <col min="5388" max="5388" width="18.42578125" style="483" customWidth="1"/>
    <col min="5389" max="5389" width="15.140625" style="483" customWidth="1"/>
    <col min="5390" max="5390" width="20.5703125" style="483" customWidth="1"/>
    <col min="5391" max="5391" width="13.5703125" style="483" bestFit="1" customWidth="1"/>
    <col min="5392" max="5392" width="13.7109375" style="483" bestFit="1" customWidth="1"/>
    <col min="5393" max="5393" width="12.28515625" style="483" bestFit="1" customWidth="1"/>
    <col min="5394" max="5629" width="11.42578125" style="483"/>
    <col min="5630" max="5630" width="8.140625" style="483" customWidth="1"/>
    <col min="5631" max="5631" width="13.140625" style="483" customWidth="1"/>
    <col min="5632" max="5632" width="13.7109375" style="483" customWidth="1"/>
    <col min="5633" max="5633" width="31.42578125" style="483" customWidth="1"/>
    <col min="5634" max="5634" width="8.7109375" style="483" customWidth="1"/>
    <col min="5635" max="5635" width="11.85546875" style="483" customWidth="1"/>
    <col min="5636" max="5636" width="17.7109375" style="483" customWidth="1"/>
    <col min="5637" max="5637" width="18.7109375" style="483" customWidth="1"/>
    <col min="5638" max="5638" width="14" style="483" customWidth="1"/>
    <col min="5639" max="5639" width="17.7109375" style="483" customWidth="1"/>
    <col min="5640" max="5640" width="13.28515625" style="483" customWidth="1"/>
    <col min="5641" max="5641" width="13.85546875" style="483" customWidth="1"/>
    <col min="5642" max="5642" width="15.140625" style="483" customWidth="1"/>
    <col min="5643" max="5643" width="14.28515625" style="483" customWidth="1"/>
    <col min="5644" max="5644" width="18.42578125" style="483" customWidth="1"/>
    <col min="5645" max="5645" width="15.140625" style="483" customWidth="1"/>
    <col min="5646" max="5646" width="20.5703125" style="483" customWidth="1"/>
    <col min="5647" max="5647" width="13.5703125" style="483" bestFit="1" customWidth="1"/>
    <col min="5648" max="5648" width="13.7109375" style="483" bestFit="1" customWidth="1"/>
    <col min="5649" max="5649" width="12.28515625" style="483" bestFit="1" customWidth="1"/>
    <col min="5650" max="5885" width="11.42578125" style="483"/>
    <col min="5886" max="5886" width="8.140625" style="483" customWidth="1"/>
    <col min="5887" max="5887" width="13.140625" style="483" customWidth="1"/>
    <col min="5888" max="5888" width="13.7109375" style="483" customWidth="1"/>
    <col min="5889" max="5889" width="31.42578125" style="483" customWidth="1"/>
    <col min="5890" max="5890" width="8.7109375" style="483" customWidth="1"/>
    <col min="5891" max="5891" width="11.85546875" style="483" customWidth="1"/>
    <col min="5892" max="5892" width="17.7109375" style="483" customWidth="1"/>
    <col min="5893" max="5893" width="18.7109375" style="483" customWidth="1"/>
    <col min="5894" max="5894" width="14" style="483" customWidth="1"/>
    <col min="5895" max="5895" width="17.7109375" style="483" customWidth="1"/>
    <col min="5896" max="5896" width="13.28515625" style="483" customWidth="1"/>
    <col min="5897" max="5897" width="13.85546875" style="483" customWidth="1"/>
    <col min="5898" max="5898" width="15.140625" style="483" customWidth="1"/>
    <col min="5899" max="5899" width="14.28515625" style="483" customWidth="1"/>
    <col min="5900" max="5900" width="18.42578125" style="483" customWidth="1"/>
    <col min="5901" max="5901" width="15.140625" style="483" customWidth="1"/>
    <col min="5902" max="5902" width="20.5703125" style="483" customWidth="1"/>
    <col min="5903" max="5903" width="13.5703125" style="483" bestFit="1" customWidth="1"/>
    <col min="5904" max="5904" width="13.7109375" style="483" bestFit="1" customWidth="1"/>
    <col min="5905" max="5905" width="12.28515625" style="483" bestFit="1" customWidth="1"/>
    <col min="5906" max="6141" width="11.42578125" style="483"/>
    <col min="6142" max="6142" width="8.140625" style="483" customWidth="1"/>
    <col min="6143" max="6143" width="13.140625" style="483" customWidth="1"/>
    <col min="6144" max="6144" width="13.7109375" style="483" customWidth="1"/>
    <col min="6145" max="6145" width="31.42578125" style="483" customWidth="1"/>
    <col min="6146" max="6146" width="8.7109375" style="483" customWidth="1"/>
    <col min="6147" max="6147" width="11.85546875" style="483" customWidth="1"/>
    <col min="6148" max="6148" width="17.7109375" style="483" customWidth="1"/>
    <col min="6149" max="6149" width="18.7109375" style="483" customWidth="1"/>
    <col min="6150" max="6150" width="14" style="483" customWidth="1"/>
    <col min="6151" max="6151" width="17.7109375" style="483" customWidth="1"/>
    <col min="6152" max="6152" width="13.28515625" style="483" customWidth="1"/>
    <col min="6153" max="6153" width="13.85546875" style="483" customWidth="1"/>
    <col min="6154" max="6154" width="15.140625" style="483" customWidth="1"/>
    <col min="6155" max="6155" width="14.28515625" style="483" customWidth="1"/>
    <col min="6156" max="6156" width="18.42578125" style="483" customWidth="1"/>
    <col min="6157" max="6157" width="15.140625" style="483" customWidth="1"/>
    <col min="6158" max="6158" width="20.5703125" style="483" customWidth="1"/>
    <col min="6159" max="6159" width="13.5703125" style="483" bestFit="1" customWidth="1"/>
    <col min="6160" max="6160" width="13.7109375" style="483" bestFit="1" customWidth="1"/>
    <col min="6161" max="6161" width="12.28515625" style="483" bestFit="1" customWidth="1"/>
    <col min="6162" max="6397" width="11.42578125" style="483"/>
    <col min="6398" max="6398" width="8.140625" style="483" customWidth="1"/>
    <col min="6399" max="6399" width="13.140625" style="483" customWidth="1"/>
    <col min="6400" max="6400" width="13.7109375" style="483" customWidth="1"/>
    <col min="6401" max="6401" width="31.42578125" style="483" customWidth="1"/>
    <col min="6402" max="6402" width="8.7109375" style="483" customWidth="1"/>
    <col min="6403" max="6403" width="11.85546875" style="483" customWidth="1"/>
    <col min="6404" max="6404" width="17.7109375" style="483" customWidth="1"/>
    <col min="6405" max="6405" width="18.7109375" style="483" customWidth="1"/>
    <col min="6406" max="6406" width="14" style="483" customWidth="1"/>
    <col min="6407" max="6407" width="17.7109375" style="483" customWidth="1"/>
    <col min="6408" max="6408" width="13.28515625" style="483" customWidth="1"/>
    <col min="6409" max="6409" width="13.85546875" style="483" customWidth="1"/>
    <col min="6410" max="6410" width="15.140625" style="483" customWidth="1"/>
    <col min="6411" max="6411" width="14.28515625" style="483" customWidth="1"/>
    <col min="6412" max="6412" width="18.42578125" style="483" customWidth="1"/>
    <col min="6413" max="6413" width="15.140625" style="483" customWidth="1"/>
    <col min="6414" max="6414" width="20.5703125" style="483" customWidth="1"/>
    <col min="6415" max="6415" width="13.5703125" style="483" bestFit="1" customWidth="1"/>
    <col min="6416" max="6416" width="13.7109375" style="483" bestFit="1" customWidth="1"/>
    <col min="6417" max="6417" width="12.28515625" style="483" bestFit="1" customWidth="1"/>
    <col min="6418" max="6653" width="11.42578125" style="483"/>
    <col min="6654" max="6654" width="8.140625" style="483" customWidth="1"/>
    <col min="6655" max="6655" width="13.140625" style="483" customWidth="1"/>
    <col min="6656" max="6656" width="13.7109375" style="483" customWidth="1"/>
    <col min="6657" max="6657" width="31.42578125" style="483" customWidth="1"/>
    <col min="6658" max="6658" width="8.7109375" style="483" customWidth="1"/>
    <col min="6659" max="6659" width="11.85546875" style="483" customWidth="1"/>
    <col min="6660" max="6660" width="17.7109375" style="483" customWidth="1"/>
    <col min="6661" max="6661" width="18.7109375" style="483" customWidth="1"/>
    <col min="6662" max="6662" width="14" style="483" customWidth="1"/>
    <col min="6663" max="6663" width="17.7109375" style="483" customWidth="1"/>
    <col min="6664" max="6664" width="13.28515625" style="483" customWidth="1"/>
    <col min="6665" max="6665" width="13.85546875" style="483" customWidth="1"/>
    <col min="6666" max="6666" width="15.140625" style="483" customWidth="1"/>
    <col min="6667" max="6667" width="14.28515625" style="483" customWidth="1"/>
    <col min="6668" max="6668" width="18.42578125" style="483" customWidth="1"/>
    <col min="6669" max="6669" width="15.140625" style="483" customWidth="1"/>
    <col min="6670" max="6670" width="20.5703125" style="483" customWidth="1"/>
    <col min="6671" max="6671" width="13.5703125" style="483" bestFit="1" customWidth="1"/>
    <col min="6672" max="6672" width="13.7109375" style="483" bestFit="1" customWidth="1"/>
    <col min="6673" max="6673" width="12.28515625" style="483" bestFit="1" customWidth="1"/>
    <col min="6674" max="6909" width="11.42578125" style="483"/>
    <col min="6910" max="6910" width="8.140625" style="483" customWidth="1"/>
    <col min="6911" max="6911" width="13.140625" style="483" customWidth="1"/>
    <col min="6912" max="6912" width="13.7109375" style="483" customWidth="1"/>
    <col min="6913" max="6913" width="31.42578125" style="483" customWidth="1"/>
    <col min="6914" max="6914" width="8.7109375" style="483" customWidth="1"/>
    <col min="6915" max="6915" width="11.85546875" style="483" customWidth="1"/>
    <col min="6916" max="6916" width="17.7109375" style="483" customWidth="1"/>
    <col min="6917" max="6917" width="18.7109375" style="483" customWidth="1"/>
    <col min="6918" max="6918" width="14" style="483" customWidth="1"/>
    <col min="6919" max="6919" width="17.7109375" style="483" customWidth="1"/>
    <col min="6920" max="6920" width="13.28515625" style="483" customWidth="1"/>
    <col min="6921" max="6921" width="13.85546875" style="483" customWidth="1"/>
    <col min="6922" max="6922" width="15.140625" style="483" customWidth="1"/>
    <col min="6923" max="6923" width="14.28515625" style="483" customWidth="1"/>
    <col min="6924" max="6924" width="18.42578125" style="483" customWidth="1"/>
    <col min="6925" max="6925" width="15.140625" style="483" customWidth="1"/>
    <col min="6926" max="6926" width="20.5703125" style="483" customWidth="1"/>
    <col min="6927" max="6927" width="13.5703125" style="483" bestFit="1" customWidth="1"/>
    <col min="6928" max="6928" width="13.7109375" style="483" bestFit="1" customWidth="1"/>
    <col min="6929" max="6929" width="12.28515625" style="483" bestFit="1" customWidth="1"/>
    <col min="6930" max="7165" width="11.42578125" style="483"/>
    <col min="7166" max="7166" width="8.140625" style="483" customWidth="1"/>
    <col min="7167" max="7167" width="13.140625" style="483" customWidth="1"/>
    <col min="7168" max="7168" width="13.7109375" style="483" customWidth="1"/>
    <col min="7169" max="7169" width="31.42578125" style="483" customWidth="1"/>
    <col min="7170" max="7170" width="8.7109375" style="483" customWidth="1"/>
    <col min="7171" max="7171" width="11.85546875" style="483" customWidth="1"/>
    <col min="7172" max="7172" width="17.7109375" style="483" customWidth="1"/>
    <col min="7173" max="7173" width="18.7109375" style="483" customWidth="1"/>
    <col min="7174" max="7174" width="14" style="483" customWidth="1"/>
    <col min="7175" max="7175" width="17.7109375" style="483" customWidth="1"/>
    <col min="7176" max="7176" width="13.28515625" style="483" customWidth="1"/>
    <col min="7177" max="7177" width="13.85546875" style="483" customWidth="1"/>
    <col min="7178" max="7178" width="15.140625" style="483" customWidth="1"/>
    <col min="7179" max="7179" width="14.28515625" style="483" customWidth="1"/>
    <col min="7180" max="7180" width="18.42578125" style="483" customWidth="1"/>
    <col min="7181" max="7181" width="15.140625" style="483" customWidth="1"/>
    <col min="7182" max="7182" width="20.5703125" style="483" customWidth="1"/>
    <col min="7183" max="7183" width="13.5703125" style="483" bestFit="1" customWidth="1"/>
    <col min="7184" max="7184" width="13.7109375" style="483" bestFit="1" customWidth="1"/>
    <col min="7185" max="7185" width="12.28515625" style="483" bestFit="1" customWidth="1"/>
    <col min="7186" max="7421" width="11.42578125" style="483"/>
    <col min="7422" max="7422" width="8.140625" style="483" customWidth="1"/>
    <col min="7423" max="7423" width="13.140625" style="483" customWidth="1"/>
    <col min="7424" max="7424" width="13.7109375" style="483" customWidth="1"/>
    <col min="7425" max="7425" width="31.42578125" style="483" customWidth="1"/>
    <col min="7426" max="7426" width="8.7109375" style="483" customWidth="1"/>
    <col min="7427" max="7427" width="11.85546875" style="483" customWidth="1"/>
    <col min="7428" max="7428" width="17.7109375" style="483" customWidth="1"/>
    <col min="7429" max="7429" width="18.7109375" style="483" customWidth="1"/>
    <col min="7430" max="7430" width="14" style="483" customWidth="1"/>
    <col min="7431" max="7431" width="17.7109375" style="483" customWidth="1"/>
    <col min="7432" max="7432" width="13.28515625" style="483" customWidth="1"/>
    <col min="7433" max="7433" width="13.85546875" style="483" customWidth="1"/>
    <col min="7434" max="7434" width="15.140625" style="483" customWidth="1"/>
    <col min="7435" max="7435" width="14.28515625" style="483" customWidth="1"/>
    <col min="7436" max="7436" width="18.42578125" style="483" customWidth="1"/>
    <col min="7437" max="7437" width="15.140625" style="483" customWidth="1"/>
    <col min="7438" max="7438" width="20.5703125" style="483" customWidth="1"/>
    <col min="7439" max="7439" width="13.5703125" style="483" bestFit="1" customWidth="1"/>
    <col min="7440" max="7440" width="13.7109375" style="483" bestFit="1" customWidth="1"/>
    <col min="7441" max="7441" width="12.28515625" style="483" bestFit="1" customWidth="1"/>
    <col min="7442" max="7677" width="11.42578125" style="483"/>
    <col min="7678" max="7678" width="8.140625" style="483" customWidth="1"/>
    <col min="7679" max="7679" width="13.140625" style="483" customWidth="1"/>
    <col min="7680" max="7680" width="13.7109375" style="483" customWidth="1"/>
    <col min="7681" max="7681" width="31.42578125" style="483" customWidth="1"/>
    <col min="7682" max="7682" width="8.7109375" style="483" customWidth="1"/>
    <col min="7683" max="7683" width="11.85546875" style="483" customWidth="1"/>
    <col min="7684" max="7684" width="17.7109375" style="483" customWidth="1"/>
    <col min="7685" max="7685" width="18.7109375" style="483" customWidth="1"/>
    <col min="7686" max="7686" width="14" style="483" customWidth="1"/>
    <col min="7687" max="7687" width="17.7109375" style="483" customWidth="1"/>
    <col min="7688" max="7688" width="13.28515625" style="483" customWidth="1"/>
    <col min="7689" max="7689" width="13.85546875" style="483" customWidth="1"/>
    <col min="7690" max="7690" width="15.140625" style="483" customWidth="1"/>
    <col min="7691" max="7691" width="14.28515625" style="483" customWidth="1"/>
    <col min="7692" max="7692" width="18.42578125" style="483" customWidth="1"/>
    <col min="7693" max="7693" width="15.140625" style="483" customWidth="1"/>
    <col min="7694" max="7694" width="20.5703125" style="483" customWidth="1"/>
    <col min="7695" max="7695" width="13.5703125" style="483" bestFit="1" customWidth="1"/>
    <col min="7696" max="7696" width="13.7109375" style="483" bestFit="1" customWidth="1"/>
    <col min="7697" max="7697" width="12.28515625" style="483" bestFit="1" customWidth="1"/>
    <col min="7698" max="7933" width="11.42578125" style="483"/>
    <col min="7934" max="7934" width="8.140625" style="483" customWidth="1"/>
    <col min="7935" max="7935" width="13.140625" style="483" customWidth="1"/>
    <col min="7936" max="7936" width="13.7109375" style="483" customWidth="1"/>
    <col min="7937" max="7937" width="31.42578125" style="483" customWidth="1"/>
    <col min="7938" max="7938" width="8.7109375" style="483" customWidth="1"/>
    <col min="7939" max="7939" width="11.85546875" style="483" customWidth="1"/>
    <col min="7940" max="7940" width="17.7109375" style="483" customWidth="1"/>
    <col min="7941" max="7941" width="18.7109375" style="483" customWidth="1"/>
    <col min="7942" max="7942" width="14" style="483" customWidth="1"/>
    <col min="7943" max="7943" width="17.7109375" style="483" customWidth="1"/>
    <col min="7944" max="7944" width="13.28515625" style="483" customWidth="1"/>
    <col min="7945" max="7945" width="13.85546875" style="483" customWidth="1"/>
    <col min="7946" max="7946" width="15.140625" style="483" customWidth="1"/>
    <col min="7947" max="7947" width="14.28515625" style="483" customWidth="1"/>
    <col min="7948" max="7948" width="18.42578125" style="483" customWidth="1"/>
    <col min="7949" max="7949" width="15.140625" style="483" customWidth="1"/>
    <col min="7950" max="7950" width="20.5703125" style="483" customWidth="1"/>
    <col min="7951" max="7951" width="13.5703125" style="483" bestFit="1" customWidth="1"/>
    <col min="7952" max="7952" width="13.7109375" style="483" bestFit="1" customWidth="1"/>
    <col min="7953" max="7953" width="12.28515625" style="483" bestFit="1" customWidth="1"/>
    <col min="7954" max="8189" width="11.42578125" style="483"/>
    <col min="8190" max="8190" width="8.140625" style="483" customWidth="1"/>
    <col min="8191" max="8191" width="13.140625" style="483" customWidth="1"/>
    <col min="8192" max="8192" width="13.7109375" style="483" customWidth="1"/>
    <col min="8193" max="8193" width="31.42578125" style="483" customWidth="1"/>
    <col min="8194" max="8194" width="8.7109375" style="483" customWidth="1"/>
    <col min="8195" max="8195" width="11.85546875" style="483" customWidth="1"/>
    <col min="8196" max="8196" width="17.7109375" style="483" customWidth="1"/>
    <col min="8197" max="8197" width="18.7109375" style="483" customWidth="1"/>
    <col min="8198" max="8198" width="14" style="483" customWidth="1"/>
    <col min="8199" max="8199" width="17.7109375" style="483" customWidth="1"/>
    <col min="8200" max="8200" width="13.28515625" style="483" customWidth="1"/>
    <col min="8201" max="8201" width="13.85546875" style="483" customWidth="1"/>
    <col min="8202" max="8202" width="15.140625" style="483" customWidth="1"/>
    <col min="8203" max="8203" width="14.28515625" style="483" customWidth="1"/>
    <col min="8204" max="8204" width="18.42578125" style="483" customWidth="1"/>
    <col min="8205" max="8205" width="15.140625" style="483" customWidth="1"/>
    <col min="8206" max="8206" width="20.5703125" style="483" customWidth="1"/>
    <col min="8207" max="8207" width="13.5703125" style="483" bestFit="1" customWidth="1"/>
    <col min="8208" max="8208" width="13.7109375" style="483" bestFit="1" customWidth="1"/>
    <col min="8209" max="8209" width="12.28515625" style="483" bestFit="1" customWidth="1"/>
    <col min="8210" max="8445" width="11.42578125" style="483"/>
    <col min="8446" max="8446" width="8.140625" style="483" customWidth="1"/>
    <col min="8447" max="8447" width="13.140625" style="483" customWidth="1"/>
    <col min="8448" max="8448" width="13.7109375" style="483" customWidth="1"/>
    <col min="8449" max="8449" width="31.42578125" style="483" customWidth="1"/>
    <col min="8450" max="8450" width="8.7109375" style="483" customWidth="1"/>
    <col min="8451" max="8451" width="11.85546875" style="483" customWidth="1"/>
    <col min="8452" max="8452" width="17.7109375" style="483" customWidth="1"/>
    <col min="8453" max="8453" width="18.7109375" style="483" customWidth="1"/>
    <col min="8454" max="8454" width="14" style="483" customWidth="1"/>
    <col min="8455" max="8455" width="17.7109375" style="483" customWidth="1"/>
    <col min="8456" max="8456" width="13.28515625" style="483" customWidth="1"/>
    <col min="8457" max="8457" width="13.85546875" style="483" customWidth="1"/>
    <col min="8458" max="8458" width="15.140625" style="483" customWidth="1"/>
    <col min="8459" max="8459" width="14.28515625" style="483" customWidth="1"/>
    <col min="8460" max="8460" width="18.42578125" style="483" customWidth="1"/>
    <col min="8461" max="8461" width="15.140625" style="483" customWidth="1"/>
    <col min="8462" max="8462" width="20.5703125" style="483" customWidth="1"/>
    <col min="8463" max="8463" width="13.5703125" style="483" bestFit="1" customWidth="1"/>
    <col min="8464" max="8464" width="13.7109375" style="483" bestFit="1" customWidth="1"/>
    <col min="8465" max="8465" width="12.28515625" style="483" bestFit="1" customWidth="1"/>
    <col min="8466" max="8701" width="11.42578125" style="483"/>
    <col min="8702" max="8702" width="8.140625" style="483" customWidth="1"/>
    <col min="8703" max="8703" width="13.140625" style="483" customWidth="1"/>
    <col min="8704" max="8704" width="13.7109375" style="483" customWidth="1"/>
    <col min="8705" max="8705" width="31.42578125" style="483" customWidth="1"/>
    <col min="8706" max="8706" width="8.7109375" style="483" customWidth="1"/>
    <col min="8707" max="8707" width="11.85546875" style="483" customWidth="1"/>
    <col min="8708" max="8708" width="17.7109375" style="483" customWidth="1"/>
    <col min="8709" max="8709" width="18.7109375" style="483" customWidth="1"/>
    <col min="8710" max="8710" width="14" style="483" customWidth="1"/>
    <col min="8711" max="8711" width="17.7109375" style="483" customWidth="1"/>
    <col min="8712" max="8712" width="13.28515625" style="483" customWidth="1"/>
    <col min="8713" max="8713" width="13.85546875" style="483" customWidth="1"/>
    <col min="8714" max="8714" width="15.140625" style="483" customWidth="1"/>
    <col min="8715" max="8715" width="14.28515625" style="483" customWidth="1"/>
    <col min="8716" max="8716" width="18.42578125" style="483" customWidth="1"/>
    <col min="8717" max="8717" width="15.140625" style="483" customWidth="1"/>
    <col min="8718" max="8718" width="20.5703125" style="483" customWidth="1"/>
    <col min="8719" max="8719" width="13.5703125" style="483" bestFit="1" customWidth="1"/>
    <col min="8720" max="8720" width="13.7109375" style="483" bestFit="1" customWidth="1"/>
    <col min="8721" max="8721" width="12.28515625" style="483" bestFit="1" customWidth="1"/>
    <col min="8722" max="8957" width="11.42578125" style="483"/>
    <col min="8958" max="8958" width="8.140625" style="483" customWidth="1"/>
    <col min="8959" max="8959" width="13.140625" style="483" customWidth="1"/>
    <col min="8960" max="8960" width="13.7109375" style="483" customWidth="1"/>
    <col min="8961" max="8961" width="31.42578125" style="483" customWidth="1"/>
    <col min="8962" max="8962" width="8.7109375" style="483" customWidth="1"/>
    <col min="8963" max="8963" width="11.85546875" style="483" customWidth="1"/>
    <col min="8964" max="8964" width="17.7109375" style="483" customWidth="1"/>
    <col min="8965" max="8965" width="18.7109375" style="483" customWidth="1"/>
    <col min="8966" max="8966" width="14" style="483" customWidth="1"/>
    <col min="8967" max="8967" width="17.7109375" style="483" customWidth="1"/>
    <col min="8968" max="8968" width="13.28515625" style="483" customWidth="1"/>
    <col min="8969" max="8969" width="13.85546875" style="483" customWidth="1"/>
    <col min="8970" max="8970" width="15.140625" style="483" customWidth="1"/>
    <col min="8971" max="8971" width="14.28515625" style="483" customWidth="1"/>
    <col min="8972" max="8972" width="18.42578125" style="483" customWidth="1"/>
    <col min="8973" max="8973" width="15.140625" style="483" customWidth="1"/>
    <col min="8974" max="8974" width="20.5703125" style="483" customWidth="1"/>
    <col min="8975" max="8975" width="13.5703125" style="483" bestFit="1" customWidth="1"/>
    <col min="8976" max="8976" width="13.7109375" style="483" bestFit="1" customWidth="1"/>
    <col min="8977" max="8977" width="12.28515625" style="483" bestFit="1" customWidth="1"/>
    <col min="8978" max="9213" width="11.42578125" style="483"/>
    <col min="9214" max="9214" width="8.140625" style="483" customWidth="1"/>
    <col min="9215" max="9215" width="13.140625" style="483" customWidth="1"/>
    <col min="9216" max="9216" width="13.7109375" style="483" customWidth="1"/>
    <col min="9217" max="9217" width="31.42578125" style="483" customWidth="1"/>
    <col min="9218" max="9218" width="8.7109375" style="483" customWidth="1"/>
    <col min="9219" max="9219" width="11.85546875" style="483" customWidth="1"/>
    <col min="9220" max="9220" width="17.7109375" style="483" customWidth="1"/>
    <col min="9221" max="9221" width="18.7109375" style="483" customWidth="1"/>
    <col min="9222" max="9222" width="14" style="483" customWidth="1"/>
    <col min="9223" max="9223" width="17.7109375" style="483" customWidth="1"/>
    <col min="9224" max="9224" width="13.28515625" style="483" customWidth="1"/>
    <col min="9225" max="9225" width="13.85546875" style="483" customWidth="1"/>
    <col min="9226" max="9226" width="15.140625" style="483" customWidth="1"/>
    <col min="9227" max="9227" width="14.28515625" style="483" customWidth="1"/>
    <col min="9228" max="9228" width="18.42578125" style="483" customWidth="1"/>
    <col min="9229" max="9229" width="15.140625" style="483" customWidth="1"/>
    <col min="9230" max="9230" width="20.5703125" style="483" customWidth="1"/>
    <col min="9231" max="9231" width="13.5703125" style="483" bestFit="1" customWidth="1"/>
    <col min="9232" max="9232" width="13.7109375" style="483" bestFit="1" customWidth="1"/>
    <col min="9233" max="9233" width="12.28515625" style="483" bestFit="1" customWidth="1"/>
    <col min="9234" max="9469" width="11.42578125" style="483"/>
    <col min="9470" max="9470" width="8.140625" style="483" customWidth="1"/>
    <col min="9471" max="9471" width="13.140625" style="483" customWidth="1"/>
    <col min="9472" max="9472" width="13.7109375" style="483" customWidth="1"/>
    <col min="9473" max="9473" width="31.42578125" style="483" customWidth="1"/>
    <col min="9474" max="9474" width="8.7109375" style="483" customWidth="1"/>
    <col min="9475" max="9475" width="11.85546875" style="483" customWidth="1"/>
    <col min="9476" max="9476" width="17.7109375" style="483" customWidth="1"/>
    <col min="9477" max="9477" width="18.7109375" style="483" customWidth="1"/>
    <col min="9478" max="9478" width="14" style="483" customWidth="1"/>
    <col min="9479" max="9479" width="17.7109375" style="483" customWidth="1"/>
    <col min="9480" max="9480" width="13.28515625" style="483" customWidth="1"/>
    <col min="9481" max="9481" width="13.85546875" style="483" customWidth="1"/>
    <col min="9482" max="9482" width="15.140625" style="483" customWidth="1"/>
    <col min="9483" max="9483" width="14.28515625" style="483" customWidth="1"/>
    <col min="9484" max="9484" width="18.42578125" style="483" customWidth="1"/>
    <col min="9485" max="9485" width="15.140625" style="483" customWidth="1"/>
    <col min="9486" max="9486" width="20.5703125" style="483" customWidth="1"/>
    <col min="9487" max="9487" width="13.5703125" style="483" bestFit="1" customWidth="1"/>
    <col min="9488" max="9488" width="13.7109375" style="483" bestFit="1" customWidth="1"/>
    <col min="9489" max="9489" width="12.28515625" style="483" bestFit="1" customWidth="1"/>
    <col min="9490" max="9725" width="11.42578125" style="483"/>
    <col min="9726" max="9726" width="8.140625" style="483" customWidth="1"/>
    <col min="9727" max="9727" width="13.140625" style="483" customWidth="1"/>
    <col min="9728" max="9728" width="13.7109375" style="483" customWidth="1"/>
    <col min="9729" max="9729" width="31.42578125" style="483" customWidth="1"/>
    <col min="9730" max="9730" width="8.7109375" style="483" customWidth="1"/>
    <col min="9731" max="9731" width="11.85546875" style="483" customWidth="1"/>
    <col min="9732" max="9732" width="17.7109375" style="483" customWidth="1"/>
    <col min="9733" max="9733" width="18.7109375" style="483" customWidth="1"/>
    <col min="9734" max="9734" width="14" style="483" customWidth="1"/>
    <col min="9735" max="9735" width="17.7109375" style="483" customWidth="1"/>
    <col min="9736" max="9736" width="13.28515625" style="483" customWidth="1"/>
    <col min="9737" max="9737" width="13.85546875" style="483" customWidth="1"/>
    <col min="9738" max="9738" width="15.140625" style="483" customWidth="1"/>
    <col min="9739" max="9739" width="14.28515625" style="483" customWidth="1"/>
    <col min="9740" max="9740" width="18.42578125" style="483" customWidth="1"/>
    <col min="9741" max="9741" width="15.140625" style="483" customWidth="1"/>
    <col min="9742" max="9742" width="20.5703125" style="483" customWidth="1"/>
    <col min="9743" max="9743" width="13.5703125" style="483" bestFit="1" customWidth="1"/>
    <col min="9744" max="9744" width="13.7109375" style="483" bestFit="1" customWidth="1"/>
    <col min="9745" max="9745" width="12.28515625" style="483" bestFit="1" customWidth="1"/>
    <col min="9746" max="9981" width="11.42578125" style="483"/>
    <col min="9982" max="9982" width="8.140625" style="483" customWidth="1"/>
    <col min="9983" max="9983" width="13.140625" style="483" customWidth="1"/>
    <col min="9984" max="9984" width="13.7109375" style="483" customWidth="1"/>
    <col min="9985" max="9985" width="31.42578125" style="483" customWidth="1"/>
    <col min="9986" max="9986" width="8.7109375" style="483" customWidth="1"/>
    <col min="9987" max="9987" width="11.85546875" style="483" customWidth="1"/>
    <col min="9988" max="9988" width="17.7109375" style="483" customWidth="1"/>
    <col min="9989" max="9989" width="18.7109375" style="483" customWidth="1"/>
    <col min="9990" max="9990" width="14" style="483" customWidth="1"/>
    <col min="9991" max="9991" width="17.7109375" style="483" customWidth="1"/>
    <col min="9992" max="9992" width="13.28515625" style="483" customWidth="1"/>
    <col min="9993" max="9993" width="13.85546875" style="483" customWidth="1"/>
    <col min="9994" max="9994" width="15.140625" style="483" customWidth="1"/>
    <col min="9995" max="9995" width="14.28515625" style="483" customWidth="1"/>
    <col min="9996" max="9996" width="18.42578125" style="483" customWidth="1"/>
    <col min="9997" max="9997" width="15.140625" style="483" customWidth="1"/>
    <col min="9998" max="9998" width="20.5703125" style="483" customWidth="1"/>
    <col min="9999" max="9999" width="13.5703125" style="483" bestFit="1" customWidth="1"/>
    <col min="10000" max="10000" width="13.7109375" style="483" bestFit="1" customWidth="1"/>
    <col min="10001" max="10001" width="12.28515625" style="483" bestFit="1" customWidth="1"/>
    <col min="10002" max="10237" width="11.42578125" style="483"/>
    <col min="10238" max="10238" width="8.140625" style="483" customWidth="1"/>
    <col min="10239" max="10239" width="13.140625" style="483" customWidth="1"/>
    <col min="10240" max="10240" width="13.7109375" style="483" customWidth="1"/>
    <col min="10241" max="10241" width="31.42578125" style="483" customWidth="1"/>
    <col min="10242" max="10242" width="8.7109375" style="483" customWidth="1"/>
    <col min="10243" max="10243" width="11.85546875" style="483" customWidth="1"/>
    <col min="10244" max="10244" width="17.7109375" style="483" customWidth="1"/>
    <col min="10245" max="10245" width="18.7109375" style="483" customWidth="1"/>
    <col min="10246" max="10246" width="14" style="483" customWidth="1"/>
    <col min="10247" max="10247" width="17.7109375" style="483" customWidth="1"/>
    <col min="10248" max="10248" width="13.28515625" style="483" customWidth="1"/>
    <col min="10249" max="10249" width="13.85546875" style="483" customWidth="1"/>
    <col min="10250" max="10250" width="15.140625" style="483" customWidth="1"/>
    <col min="10251" max="10251" width="14.28515625" style="483" customWidth="1"/>
    <col min="10252" max="10252" width="18.42578125" style="483" customWidth="1"/>
    <col min="10253" max="10253" width="15.140625" style="483" customWidth="1"/>
    <col min="10254" max="10254" width="20.5703125" style="483" customWidth="1"/>
    <col min="10255" max="10255" width="13.5703125" style="483" bestFit="1" customWidth="1"/>
    <col min="10256" max="10256" width="13.7109375" style="483" bestFit="1" customWidth="1"/>
    <col min="10257" max="10257" width="12.28515625" style="483" bestFit="1" customWidth="1"/>
    <col min="10258" max="10493" width="11.42578125" style="483"/>
    <col min="10494" max="10494" width="8.140625" style="483" customWidth="1"/>
    <col min="10495" max="10495" width="13.140625" style="483" customWidth="1"/>
    <col min="10496" max="10496" width="13.7109375" style="483" customWidth="1"/>
    <col min="10497" max="10497" width="31.42578125" style="483" customWidth="1"/>
    <col min="10498" max="10498" width="8.7109375" style="483" customWidth="1"/>
    <col min="10499" max="10499" width="11.85546875" style="483" customWidth="1"/>
    <col min="10500" max="10500" width="17.7109375" style="483" customWidth="1"/>
    <col min="10501" max="10501" width="18.7109375" style="483" customWidth="1"/>
    <col min="10502" max="10502" width="14" style="483" customWidth="1"/>
    <col min="10503" max="10503" width="17.7109375" style="483" customWidth="1"/>
    <col min="10504" max="10504" width="13.28515625" style="483" customWidth="1"/>
    <col min="10505" max="10505" width="13.85546875" style="483" customWidth="1"/>
    <col min="10506" max="10506" width="15.140625" style="483" customWidth="1"/>
    <col min="10507" max="10507" width="14.28515625" style="483" customWidth="1"/>
    <col min="10508" max="10508" width="18.42578125" style="483" customWidth="1"/>
    <col min="10509" max="10509" width="15.140625" style="483" customWidth="1"/>
    <col min="10510" max="10510" width="20.5703125" style="483" customWidth="1"/>
    <col min="10511" max="10511" width="13.5703125" style="483" bestFit="1" customWidth="1"/>
    <col min="10512" max="10512" width="13.7109375" style="483" bestFit="1" customWidth="1"/>
    <col min="10513" max="10513" width="12.28515625" style="483" bestFit="1" customWidth="1"/>
    <col min="10514" max="10749" width="11.42578125" style="483"/>
    <col min="10750" max="10750" width="8.140625" style="483" customWidth="1"/>
    <col min="10751" max="10751" width="13.140625" style="483" customWidth="1"/>
    <col min="10752" max="10752" width="13.7109375" style="483" customWidth="1"/>
    <col min="10753" max="10753" width="31.42578125" style="483" customWidth="1"/>
    <col min="10754" max="10754" width="8.7109375" style="483" customWidth="1"/>
    <col min="10755" max="10755" width="11.85546875" style="483" customWidth="1"/>
    <col min="10756" max="10756" width="17.7109375" style="483" customWidth="1"/>
    <col min="10757" max="10757" width="18.7109375" style="483" customWidth="1"/>
    <col min="10758" max="10758" width="14" style="483" customWidth="1"/>
    <col min="10759" max="10759" width="17.7109375" style="483" customWidth="1"/>
    <col min="10760" max="10760" width="13.28515625" style="483" customWidth="1"/>
    <col min="10761" max="10761" width="13.85546875" style="483" customWidth="1"/>
    <col min="10762" max="10762" width="15.140625" style="483" customWidth="1"/>
    <col min="10763" max="10763" width="14.28515625" style="483" customWidth="1"/>
    <col min="10764" max="10764" width="18.42578125" style="483" customWidth="1"/>
    <col min="10765" max="10765" width="15.140625" style="483" customWidth="1"/>
    <col min="10766" max="10766" width="20.5703125" style="483" customWidth="1"/>
    <col min="10767" max="10767" width="13.5703125" style="483" bestFit="1" customWidth="1"/>
    <col min="10768" max="10768" width="13.7109375" style="483" bestFit="1" customWidth="1"/>
    <col min="10769" max="10769" width="12.28515625" style="483" bestFit="1" customWidth="1"/>
    <col min="10770" max="11005" width="11.42578125" style="483"/>
    <col min="11006" max="11006" width="8.140625" style="483" customWidth="1"/>
    <col min="11007" max="11007" width="13.140625" style="483" customWidth="1"/>
    <col min="11008" max="11008" width="13.7109375" style="483" customWidth="1"/>
    <col min="11009" max="11009" width="31.42578125" style="483" customWidth="1"/>
    <col min="11010" max="11010" width="8.7109375" style="483" customWidth="1"/>
    <col min="11011" max="11011" width="11.85546875" style="483" customWidth="1"/>
    <col min="11012" max="11012" width="17.7109375" style="483" customWidth="1"/>
    <col min="11013" max="11013" width="18.7109375" style="483" customWidth="1"/>
    <col min="11014" max="11014" width="14" style="483" customWidth="1"/>
    <col min="11015" max="11015" width="17.7109375" style="483" customWidth="1"/>
    <col min="11016" max="11016" width="13.28515625" style="483" customWidth="1"/>
    <col min="11017" max="11017" width="13.85546875" style="483" customWidth="1"/>
    <col min="11018" max="11018" width="15.140625" style="483" customWidth="1"/>
    <col min="11019" max="11019" width="14.28515625" style="483" customWidth="1"/>
    <col min="11020" max="11020" width="18.42578125" style="483" customWidth="1"/>
    <col min="11021" max="11021" width="15.140625" style="483" customWidth="1"/>
    <col min="11022" max="11022" width="20.5703125" style="483" customWidth="1"/>
    <col min="11023" max="11023" width="13.5703125" style="483" bestFit="1" customWidth="1"/>
    <col min="11024" max="11024" width="13.7109375" style="483" bestFit="1" customWidth="1"/>
    <col min="11025" max="11025" width="12.28515625" style="483" bestFit="1" customWidth="1"/>
    <col min="11026" max="11261" width="11.42578125" style="483"/>
    <col min="11262" max="11262" width="8.140625" style="483" customWidth="1"/>
    <col min="11263" max="11263" width="13.140625" style="483" customWidth="1"/>
    <col min="11264" max="11264" width="13.7109375" style="483" customWidth="1"/>
    <col min="11265" max="11265" width="31.42578125" style="483" customWidth="1"/>
    <col min="11266" max="11266" width="8.7109375" style="483" customWidth="1"/>
    <col min="11267" max="11267" width="11.85546875" style="483" customWidth="1"/>
    <col min="11268" max="11268" width="17.7109375" style="483" customWidth="1"/>
    <col min="11269" max="11269" width="18.7109375" style="483" customWidth="1"/>
    <col min="11270" max="11270" width="14" style="483" customWidth="1"/>
    <col min="11271" max="11271" width="17.7109375" style="483" customWidth="1"/>
    <col min="11272" max="11272" width="13.28515625" style="483" customWidth="1"/>
    <col min="11273" max="11273" width="13.85546875" style="483" customWidth="1"/>
    <col min="11274" max="11274" width="15.140625" style="483" customWidth="1"/>
    <col min="11275" max="11275" width="14.28515625" style="483" customWidth="1"/>
    <col min="11276" max="11276" width="18.42578125" style="483" customWidth="1"/>
    <col min="11277" max="11277" width="15.140625" style="483" customWidth="1"/>
    <col min="11278" max="11278" width="20.5703125" style="483" customWidth="1"/>
    <col min="11279" max="11279" width="13.5703125" style="483" bestFit="1" customWidth="1"/>
    <col min="11280" max="11280" width="13.7109375" style="483" bestFit="1" customWidth="1"/>
    <col min="11281" max="11281" width="12.28515625" style="483" bestFit="1" customWidth="1"/>
    <col min="11282" max="11517" width="11.42578125" style="483"/>
    <col min="11518" max="11518" width="8.140625" style="483" customWidth="1"/>
    <col min="11519" max="11519" width="13.140625" style="483" customWidth="1"/>
    <col min="11520" max="11520" width="13.7109375" style="483" customWidth="1"/>
    <col min="11521" max="11521" width="31.42578125" style="483" customWidth="1"/>
    <col min="11522" max="11522" width="8.7109375" style="483" customWidth="1"/>
    <col min="11523" max="11523" width="11.85546875" style="483" customWidth="1"/>
    <col min="11524" max="11524" width="17.7109375" style="483" customWidth="1"/>
    <col min="11525" max="11525" width="18.7109375" style="483" customWidth="1"/>
    <col min="11526" max="11526" width="14" style="483" customWidth="1"/>
    <col min="11527" max="11527" width="17.7109375" style="483" customWidth="1"/>
    <col min="11528" max="11528" width="13.28515625" style="483" customWidth="1"/>
    <col min="11529" max="11529" width="13.85546875" style="483" customWidth="1"/>
    <col min="11530" max="11530" width="15.140625" style="483" customWidth="1"/>
    <col min="11531" max="11531" width="14.28515625" style="483" customWidth="1"/>
    <col min="11532" max="11532" width="18.42578125" style="483" customWidth="1"/>
    <col min="11533" max="11533" width="15.140625" style="483" customWidth="1"/>
    <col min="11534" max="11534" width="20.5703125" style="483" customWidth="1"/>
    <col min="11535" max="11535" width="13.5703125" style="483" bestFit="1" customWidth="1"/>
    <col min="11536" max="11536" width="13.7109375" style="483" bestFit="1" customWidth="1"/>
    <col min="11537" max="11537" width="12.28515625" style="483" bestFit="1" customWidth="1"/>
    <col min="11538" max="11773" width="11.42578125" style="483"/>
    <col min="11774" max="11774" width="8.140625" style="483" customWidth="1"/>
    <col min="11775" max="11775" width="13.140625" style="483" customWidth="1"/>
    <col min="11776" max="11776" width="13.7109375" style="483" customWidth="1"/>
    <col min="11777" max="11777" width="31.42578125" style="483" customWidth="1"/>
    <col min="11778" max="11778" width="8.7109375" style="483" customWidth="1"/>
    <col min="11779" max="11779" width="11.85546875" style="483" customWidth="1"/>
    <col min="11780" max="11780" width="17.7109375" style="483" customWidth="1"/>
    <col min="11781" max="11781" width="18.7109375" style="483" customWidth="1"/>
    <col min="11782" max="11782" width="14" style="483" customWidth="1"/>
    <col min="11783" max="11783" width="17.7109375" style="483" customWidth="1"/>
    <col min="11784" max="11784" width="13.28515625" style="483" customWidth="1"/>
    <col min="11785" max="11785" width="13.85546875" style="483" customWidth="1"/>
    <col min="11786" max="11786" width="15.140625" style="483" customWidth="1"/>
    <col min="11787" max="11787" width="14.28515625" style="483" customWidth="1"/>
    <col min="11788" max="11788" width="18.42578125" style="483" customWidth="1"/>
    <col min="11789" max="11789" width="15.140625" style="483" customWidth="1"/>
    <col min="11790" max="11790" width="20.5703125" style="483" customWidth="1"/>
    <col min="11791" max="11791" width="13.5703125" style="483" bestFit="1" customWidth="1"/>
    <col min="11792" max="11792" width="13.7109375" style="483" bestFit="1" customWidth="1"/>
    <col min="11793" max="11793" width="12.28515625" style="483" bestFit="1" customWidth="1"/>
    <col min="11794" max="12029" width="11.42578125" style="483"/>
    <col min="12030" max="12030" width="8.140625" style="483" customWidth="1"/>
    <col min="12031" max="12031" width="13.140625" style="483" customWidth="1"/>
    <col min="12032" max="12032" width="13.7109375" style="483" customWidth="1"/>
    <col min="12033" max="12033" width="31.42578125" style="483" customWidth="1"/>
    <col min="12034" max="12034" width="8.7109375" style="483" customWidth="1"/>
    <col min="12035" max="12035" width="11.85546875" style="483" customWidth="1"/>
    <col min="12036" max="12036" width="17.7109375" style="483" customWidth="1"/>
    <col min="12037" max="12037" width="18.7109375" style="483" customWidth="1"/>
    <col min="12038" max="12038" width="14" style="483" customWidth="1"/>
    <col min="12039" max="12039" width="17.7109375" style="483" customWidth="1"/>
    <col min="12040" max="12040" width="13.28515625" style="483" customWidth="1"/>
    <col min="12041" max="12041" width="13.85546875" style="483" customWidth="1"/>
    <col min="12042" max="12042" width="15.140625" style="483" customWidth="1"/>
    <col min="12043" max="12043" width="14.28515625" style="483" customWidth="1"/>
    <col min="12044" max="12044" width="18.42578125" style="483" customWidth="1"/>
    <col min="12045" max="12045" width="15.140625" style="483" customWidth="1"/>
    <col min="12046" max="12046" width="20.5703125" style="483" customWidth="1"/>
    <col min="12047" max="12047" width="13.5703125" style="483" bestFit="1" customWidth="1"/>
    <col min="12048" max="12048" width="13.7109375" style="483" bestFit="1" customWidth="1"/>
    <col min="12049" max="12049" width="12.28515625" style="483" bestFit="1" customWidth="1"/>
    <col min="12050" max="12285" width="11.42578125" style="483"/>
    <col min="12286" max="12286" width="8.140625" style="483" customWidth="1"/>
    <col min="12287" max="12287" width="13.140625" style="483" customWidth="1"/>
    <col min="12288" max="12288" width="13.7109375" style="483" customWidth="1"/>
    <col min="12289" max="12289" width="31.42578125" style="483" customWidth="1"/>
    <col min="12290" max="12290" width="8.7109375" style="483" customWidth="1"/>
    <col min="12291" max="12291" width="11.85546875" style="483" customWidth="1"/>
    <col min="12292" max="12292" width="17.7109375" style="483" customWidth="1"/>
    <col min="12293" max="12293" width="18.7109375" style="483" customWidth="1"/>
    <col min="12294" max="12294" width="14" style="483" customWidth="1"/>
    <col min="12295" max="12295" width="17.7109375" style="483" customWidth="1"/>
    <col min="12296" max="12296" width="13.28515625" style="483" customWidth="1"/>
    <col min="12297" max="12297" width="13.85546875" style="483" customWidth="1"/>
    <col min="12298" max="12298" width="15.140625" style="483" customWidth="1"/>
    <col min="12299" max="12299" width="14.28515625" style="483" customWidth="1"/>
    <col min="12300" max="12300" width="18.42578125" style="483" customWidth="1"/>
    <col min="12301" max="12301" width="15.140625" style="483" customWidth="1"/>
    <col min="12302" max="12302" width="20.5703125" style="483" customWidth="1"/>
    <col min="12303" max="12303" width="13.5703125" style="483" bestFit="1" customWidth="1"/>
    <col min="12304" max="12304" width="13.7109375" style="483" bestFit="1" customWidth="1"/>
    <col min="12305" max="12305" width="12.28515625" style="483" bestFit="1" customWidth="1"/>
    <col min="12306" max="12541" width="11.42578125" style="483"/>
    <col min="12542" max="12542" width="8.140625" style="483" customWidth="1"/>
    <col min="12543" max="12543" width="13.140625" style="483" customWidth="1"/>
    <col min="12544" max="12544" width="13.7109375" style="483" customWidth="1"/>
    <col min="12545" max="12545" width="31.42578125" style="483" customWidth="1"/>
    <col min="12546" max="12546" width="8.7109375" style="483" customWidth="1"/>
    <col min="12547" max="12547" width="11.85546875" style="483" customWidth="1"/>
    <col min="12548" max="12548" width="17.7109375" style="483" customWidth="1"/>
    <col min="12549" max="12549" width="18.7109375" style="483" customWidth="1"/>
    <col min="12550" max="12550" width="14" style="483" customWidth="1"/>
    <col min="12551" max="12551" width="17.7109375" style="483" customWidth="1"/>
    <col min="12552" max="12552" width="13.28515625" style="483" customWidth="1"/>
    <col min="12553" max="12553" width="13.85546875" style="483" customWidth="1"/>
    <col min="12554" max="12554" width="15.140625" style="483" customWidth="1"/>
    <col min="12555" max="12555" width="14.28515625" style="483" customWidth="1"/>
    <col min="12556" max="12556" width="18.42578125" style="483" customWidth="1"/>
    <col min="12557" max="12557" width="15.140625" style="483" customWidth="1"/>
    <col min="12558" max="12558" width="20.5703125" style="483" customWidth="1"/>
    <col min="12559" max="12559" width="13.5703125" style="483" bestFit="1" customWidth="1"/>
    <col min="12560" max="12560" width="13.7109375" style="483" bestFit="1" customWidth="1"/>
    <col min="12561" max="12561" width="12.28515625" style="483" bestFit="1" customWidth="1"/>
    <col min="12562" max="12797" width="11.42578125" style="483"/>
    <col min="12798" max="12798" width="8.140625" style="483" customWidth="1"/>
    <col min="12799" max="12799" width="13.140625" style="483" customWidth="1"/>
    <col min="12800" max="12800" width="13.7109375" style="483" customWidth="1"/>
    <col min="12801" max="12801" width="31.42578125" style="483" customWidth="1"/>
    <col min="12802" max="12802" width="8.7109375" style="483" customWidth="1"/>
    <col min="12803" max="12803" width="11.85546875" style="483" customWidth="1"/>
    <col min="12804" max="12804" width="17.7109375" style="483" customWidth="1"/>
    <col min="12805" max="12805" width="18.7109375" style="483" customWidth="1"/>
    <col min="12806" max="12806" width="14" style="483" customWidth="1"/>
    <col min="12807" max="12807" width="17.7109375" style="483" customWidth="1"/>
    <col min="12808" max="12808" width="13.28515625" style="483" customWidth="1"/>
    <col min="12809" max="12809" width="13.85546875" style="483" customWidth="1"/>
    <col min="12810" max="12810" width="15.140625" style="483" customWidth="1"/>
    <col min="12811" max="12811" width="14.28515625" style="483" customWidth="1"/>
    <col min="12812" max="12812" width="18.42578125" style="483" customWidth="1"/>
    <col min="12813" max="12813" width="15.140625" style="483" customWidth="1"/>
    <col min="12814" max="12814" width="20.5703125" style="483" customWidth="1"/>
    <col min="12815" max="12815" width="13.5703125" style="483" bestFit="1" customWidth="1"/>
    <col min="12816" max="12816" width="13.7109375" style="483" bestFit="1" customWidth="1"/>
    <col min="12817" max="12817" width="12.28515625" style="483" bestFit="1" customWidth="1"/>
    <col min="12818" max="13053" width="11.42578125" style="483"/>
    <col min="13054" max="13054" width="8.140625" style="483" customWidth="1"/>
    <col min="13055" max="13055" width="13.140625" style="483" customWidth="1"/>
    <col min="13056" max="13056" width="13.7109375" style="483" customWidth="1"/>
    <col min="13057" max="13057" width="31.42578125" style="483" customWidth="1"/>
    <col min="13058" max="13058" width="8.7109375" style="483" customWidth="1"/>
    <col min="13059" max="13059" width="11.85546875" style="483" customWidth="1"/>
    <col min="13060" max="13060" width="17.7109375" style="483" customWidth="1"/>
    <col min="13061" max="13061" width="18.7109375" style="483" customWidth="1"/>
    <col min="13062" max="13062" width="14" style="483" customWidth="1"/>
    <col min="13063" max="13063" width="17.7109375" style="483" customWidth="1"/>
    <col min="13064" max="13064" width="13.28515625" style="483" customWidth="1"/>
    <col min="13065" max="13065" width="13.85546875" style="483" customWidth="1"/>
    <col min="13066" max="13066" width="15.140625" style="483" customWidth="1"/>
    <col min="13067" max="13067" width="14.28515625" style="483" customWidth="1"/>
    <col min="13068" max="13068" width="18.42578125" style="483" customWidth="1"/>
    <col min="13069" max="13069" width="15.140625" style="483" customWidth="1"/>
    <col min="13070" max="13070" width="20.5703125" style="483" customWidth="1"/>
    <col min="13071" max="13071" width="13.5703125" style="483" bestFit="1" customWidth="1"/>
    <col min="13072" max="13072" width="13.7109375" style="483" bestFit="1" customWidth="1"/>
    <col min="13073" max="13073" width="12.28515625" style="483" bestFit="1" customWidth="1"/>
    <col min="13074" max="13309" width="11.42578125" style="483"/>
    <col min="13310" max="13310" width="8.140625" style="483" customWidth="1"/>
    <col min="13311" max="13311" width="13.140625" style="483" customWidth="1"/>
    <col min="13312" max="13312" width="13.7109375" style="483" customWidth="1"/>
    <col min="13313" max="13313" width="31.42578125" style="483" customWidth="1"/>
    <col min="13314" max="13314" width="8.7109375" style="483" customWidth="1"/>
    <col min="13315" max="13315" width="11.85546875" style="483" customWidth="1"/>
    <col min="13316" max="13316" width="17.7109375" style="483" customWidth="1"/>
    <col min="13317" max="13317" width="18.7109375" style="483" customWidth="1"/>
    <col min="13318" max="13318" width="14" style="483" customWidth="1"/>
    <col min="13319" max="13319" width="17.7109375" style="483" customWidth="1"/>
    <col min="13320" max="13320" width="13.28515625" style="483" customWidth="1"/>
    <col min="13321" max="13321" width="13.85546875" style="483" customWidth="1"/>
    <col min="13322" max="13322" width="15.140625" style="483" customWidth="1"/>
    <col min="13323" max="13323" width="14.28515625" style="483" customWidth="1"/>
    <col min="13324" max="13324" width="18.42578125" style="483" customWidth="1"/>
    <col min="13325" max="13325" width="15.140625" style="483" customWidth="1"/>
    <col min="13326" max="13326" width="20.5703125" style="483" customWidth="1"/>
    <col min="13327" max="13327" width="13.5703125" style="483" bestFit="1" customWidth="1"/>
    <col min="13328" max="13328" width="13.7109375" style="483" bestFit="1" customWidth="1"/>
    <col min="13329" max="13329" width="12.28515625" style="483" bestFit="1" customWidth="1"/>
    <col min="13330" max="13565" width="11.42578125" style="483"/>
    <col min="13566" max="13566" width="8.140625" style="483" customWidth="1"/>
    <col min="13567" max="13567" width="13.140625" style="483" customWidth="1"/>
    <col min="13568" max="13568" width="13.7109375" style="483" customWidth="1"/>
    <col min="13569" max="13569" width="31.42578125" style="483" customWidth="1"/>
    <col min="13570" max="13570" width="8.7109375" style="483" customWidth="1"/>
    <col min="13571" max="13571" width="11.85546875" style="483" customWidth="1"/>
    <col min="13572" max="13572" width="17.7109375" style="483" customWidth="1"/>
    <col min="13573" max="13573" width="18.7109375" style="483" customWidth="1"/>
    <col min="13574" max="13574" width="14" style="483" customWidth="1"/>
    <col min="13575" max="13575" width="17.7109375" style="483" customWidth="1"/>
    <col min="13576" max="13576" width="13.28515625" style="483" customWidth="1"/>
    <col min="13577" max="13577" width="13.85546875" style="483" customWidth="1"/>
    <col min="13578" max="13578" width="15.140625" style="483" customWidth="1"/>
    <col min="13579" max="13579" width="14.28515625" style="483" customWidth="1"/>
    <col min="13580" max="13580" width="18.42578125" style="483" customWidth="1"/>
    <col min="13581" max="13581" width="15.140625" style="483" customWidth="1"/>
    <col min="13582" max="13582" width="20.5703125" style="483" customWidth="1"/>
    <col min="13583" max="13583" width="13.5703125" style="483" bestFit="1" customWidth="1"/>
    <col min="13584" max="13584" width="13.7109375" style="483" bestFit="1" customWidth="1"/>
    <col min="13585" max="13585" width="12.28515625" style="483" bestFit="1" customWidth="1"/>
    <col min="13586" max="13821" width="11.42578125" style="483"/>
    <col min="13822" max="13822" width="8.140625" style="483" customWidth="1"/>
    <col min="13823" max="13823" width="13.140625" style="483" customWidth="1"/>
    <col min="13824" max="13824" width="13.7109375" style="483" customWidth="1"/>
    <col min="13825" max="13825" width="31.42578125" style="483" customWidth="1"/>
    <col min="13826" max="13826" width="8.7109375" style="483" customWidth="1"/>
    <col min="13827" max="13827" width="11.85546875" style="483" customWidth="1"/>
    <col min="13828" max="13828" width="17.7109375" style="483" customWidth="1"/>
    <col min="13829" max="13829" width="18.7109375" style="483" customWidth="1"/>
    <col min="13830" max="13830" width="14" style="483" customWidth="1"/>
    <col min="13831" max="13831" width="17.7109375" style="483" customWidth="1"/>
    <col min="13832" max="13832" width="13.28515625" style="483" customWidth="1"/>
    <col min="13833" max="13833" width="13.85546875" style="483" customWidth="1"/>
    <col min="13834" max="13834" width="15.140625" style="483" customWidth="1"/>
    <col min="13835" max="13835" width="14.28515625" style="483" customWidth="1"/>
    <col min="13836" max="13836" width="18.42578125" style="483" customWidth="1"/>
    <col min="13837" max="13837" width="15.140625" style="483" customWidth="1"/>
    <col min="13838" max="13838" width="20.5703125" style="483" customWidth="1"/>
    <col min="13839" max="13839" width="13.5703125" style="483" bestFit="1" customWidth="1"/>
    <col min="13840" max="13840" width="13.7109375" style="483" bestFit="1" customWidth="1"/>
    <col min="13841" max="13841" width="12.28515625" style="483" bestFit="1" customWidth="1"/>
    <col min="13842" max="14077" width="11.42578125" style="483"/>
    <col min="14078" max="14078" width="8.140625" style="483" customWidth="1"/>
    <col min="14079" max="14079" width="13.140625" style="483" customWidth="1"/>
    <col min="14080" max="14080" width="13.7109375" style="483" customWidth="1"/>
    <col min="14081" max="14081" width="31.42578125" style="483" customWidth="1"/>
    <col min="14082" max="14082" width="8.7109375" style="483" customWidth="1"/>
    <col min="14083" max="14083" width="11.85546875" style="483" customWidth="1"/>
    <col min="14084" max="14084" width="17.7109375" style="483" customWidth="1"/>
    <col min="14085" max="14085" width="18.7109375" style="483" customWidth="1"/>
    <col min="14086" max="14086" width="14" style="483" customWidth="1"/>
    <col min="14087" max="14087" width="17.7109375" style="483" customWidth="1"/>
    <col min="14088" max="14088" width="13.28515625" style="483" customWidth="1"/>
    <col min="14089" max="14089" width="13.85546875" style="483" customWidth="1"/>
    <col min="14090" max="14090" width="15.140625" style="483" customWidth="1"/>
    <col min="14091" max="14091" width="14.28515625" style="483" customWidth="1"/>
    <col min="14092" max="14092" width="18.42578125" style="483" customWidth="1"/>
    <col min="14093" max="14093" width="15.140625" style="483" customWidth="1"/>
    <col min="14094" max="14094" width="20.5703125" style="483" customWidth="1"/>
    <col min="14095" max="14095" width="13.5703125" style="483" bestFit="1" customWidth="1"/>
    <col min="14096" max="14096" width="13.7109375" style="483" bestFit="1" customWidth="1"/>
    <col min="14097" max="14097" width="12.28515625" style="483" bestFit="1" customWidth="1"/>
    <col min="14098" max="14333" width="11.42578125" style="483"/>
    <col min="14334" max="14334" width="8.140625" style="483" customWidth="1"/>
    <col min="14335" max="14335" width="13.140625" style="483" customWidth="1"/>
    <col min="14336" max="14336" width="13.7109375" style="483" customWidth="1"/>
    <col min="14337" max="14337" width="31.42578125" style="483" customWidth="1"/>
    <col min="14338" max="14338" width="8.7109375" style="483" customWidth="1"/>
    <col min="14339" max="14339" width="11.85546875" style="483" customWidth="1"/>
    <col min="14340" max="14340" width="17.7109375" style="483" customWidth="1"/>
    <col min="14341" max="14341" width="18.7109375" style="483" customWidth="1"/>
    <col min="14342" max="14342" width="14" style="483" customWidth="1"/>
    <col min="14343" max="14343" width="17.7109375" style="483" customWidth="1"/>
    <col min="14344" max="14344" width="13.28515625" style="483" customWidth="1"/>
    <col min="14345" max="14345" width="13.85546875" style="483" customWidth="1"/>
    <col min="14346" max="14346" width="15.140625" style="483" customWidth="1"/>
    <col min="14347" max="14347" width="14.28515625" style="483" customWidth="1"/>
    <col min="14348" max="14348" width="18.42578125" style="483" customWidth="1"/>
    <col min="14349" max="14349" width="15.140625" style="483" customWidth="1"/>
    <col min="14350" max="14350" width="20.5703125" style="483" customWidth="1"/>
    <col min="14351" max="14351" width="13.5703125" style="483" bestFit="1" customWidth="1"/>
    <col min="14352" max="14352" width="13.7109375" style="483" bestFit="1" customWidth="1"/>
    <col min="14353" max="14353" width="12.28515625" style="483" bestFit="1" customWidth="1"/>
    <col min="14354" max="14589" width="11.42578125" style="483"/>
    <col min="14590" max="14590" width="8.140625" style="483" customWidth="1"/>
    <col min="14591" max="14591" width="13.140625" style="483" customWidth="1"/>
    <col min="14592" max="14592" width="13.7109375" style="483" customWidth="1"/>
    <col min="14593" max="14593" width="31.42578125" style="483" customWidth="1"/>
    <col min="14594" max="14594" width="8.7109375" style="483" customWidth="1"/>
    <col min="14595" max="14595" width="11.85546875" style="483" customWidth="1"/>
    <col min="14596" max="14596" width="17.7109375" style="483" customWidth="1"/>
    <col min="14597" max="14597" width="18.7109375" style="483" customWidth="1"/>
    <col min="14598" max="14598" width="14" style="483" customWidth="1"/>
    <col min="14599" max="14599" width="17.7109375" style="483" customWidth="1"/>
    <col min="14600" max="14600" width="13.28515625" style="483" customWidth="1"/>
    <col min="14601" max="14601" width="13.85546875" style="483" customWidth="1"/>
    <col min="14602" max="14602" width="15.140625" style="483" customWidth="1"/>
    <col min="14603" max="14603" width="14.28515625" style="483" customWidth="1"/>
    <col min="14604" max="14604" width="18.42578125" style="483" customWidth="1"/>
    <col min="14605" max="14605" width="15.140625" style="483" customWidth="1"/>
    <col min="14606" max="14606" width="20.5703125" style="483" customWidth="1"/>
    <col min="14607" max="14607" width="13.5703125" style="483" bestFit="1" customWidth="1"/>
    <col min="14608" max="14608" width="13.7109375" style="483" bestFit="1" customWidth="1"/>
    <col min="14609" max="14609" width="12.28515625" style="483" bestFit="1" customWidth="1"/>
    <col min="14610" max="14845" width="11.42578125" style="483"/>
    <col min="14846" max="14846" width="8.140625" style="483" customWidth="1"/>
    <col min="14847" max="14847" width="13.140625" style="483" customWidth="1"/>
    <col min="14848" max="14848" width="13.7109375" style="483" customWidth="1"/>
    <col min="14849" max="14849" width="31.42578125" style="483" customWidth="1"/>
    <col min="14850" max="14850" width="8.7109375" style="483" customWidth="1"/>
    <col min="14851" max="14851" width="11.85546875" style="483" customWidth="1"/>
    <col min="14852" max="14852" width="17.7109375" style="483" customWidth="1"/>
    <col min="14853" max="14853" width="18.7109375" style="483" customWidth="1"/>
    <col min="14854" max="14854" width="14" style="483" customWidth="1"/>
    <col min="14855" max="14855" width="17.7109375" style="483" customWidth="1"/>
    <col min="14856" max="14856" width="13.28515625" style="483" customWidth="1"/>
    <col min="14857" max="14857" width="13.85546875" style="483" customWidth="1"/>
    <col min="14858" max="14858" width="15.140625" style="483" customWidth="1"/>
    <col min="14859" max="14859" width="14.28515625" style="483" customWidth="1"/>
    <col min="14860" max="14860" width="18.42578125" style="483" customWidth="1"/>
    <col min="14861" max="14861" width="15.140625" style="483" customWidth="1"/>
    <col min="14862" max="14862" width="20.5703125" style="483" customWidth="1"/>
    <col min="14863" max="14863" width="13.5703125" style="483" bestFit="1" customWidth="1"/>
    <col min="14864" max="14864" width="13.7109375" style="483" bestFit="1" customWidth="1"/>
    <col min="14865" max="14865" width="12.28515625" style="483" bestFit="1" customWidth="1"/>
    <col min="14866" max="15101" width="11.42578125" style="483"/>
    <col min="15102" max="15102" width="8.140625" style="483" customWidth="1"/>
    <col min="15103" max="15103" width="13.140625" style="483" customWidth="1"/>
    <col min="15104" max="15104" width="13.7109375" style="483" customWidth="1"/>
    <col min="15105" max="15105" width="31.42578125" style="483" customWidth="1"/>
    <col min="15106" max="15106" width="8.7109375" style="483" customWidth="1"/>
    <col min="15107" max="15107" width="11.85546875" style="483" customWidth="1"/>
    <col min="15108" max="15108" width="17.7109375" style="483" customWidth="1"/>
    <col min="15109" max="15109" width="18.7109375" style="483" customWidth="1"/>
    <col min="15110" max="15110" width="14" style="483" customWidth="1"/>
    <col min="15111" max="15111" width="17.7109375" style="483" customWidth="1"/>
    <col min="15112" max="15112" width="13.28515625" style="483" customWidth="1"/>
    <col min="15113" max="15113" width="13.85546875" style="483" customWidth="1"/>
    <col min="15114" max="15114" width="15.140625" style="483" customWidth="1"/>
    <col min="15115" max="15115" width="14.28515625" style="483" customWidth="1"/>
    <col min="15116" max="15116" width="18.42578125" style="483" customWidth="1"/>
    <col min="15117" max="15117" width="15.140625" style="483" customWidth="1"/>
    <col min="15118" max="15118" width="20.5703125" style="483" customWidth="1"/>
    <col min="15119" max="15119" width="13.5703125" style="483" bestFit="1" customWidth="1"/>
    <col min="15120" max="15120" width="13.7109375" style="483" bestFit="1" customWidth="1"/>
    <col min="15121" max="15121" width="12.28515625" style="483" bestFit="1" customWidth="1"/>
    <col min="15122" max="15357" width="11.42578125" style="483"/>
    <col min="15358" max="15358" width="8.140625" style="483" customWidth="1"/>
    <col min="15359" max="15359" width="13.140625" style="483" customWidth="1"/>
    <col min="15360" max="15360" width="13.7109375" style="483" customWidth="1"/>
    <col min="15361" max="15361" width="31.42578125" style="483" customWidth="1"/>
    <col min="15362" max="15362" width="8.7109375" style="483" customWidth="1"/>
    <col min="15363" max="15363" width="11.85546875" style="483" customWidth="1"/>
    <col min="15364" max="15364" width="17.7109375" style="483" customWidth="1"/>
    <col min="15365" max="15365" width="18.7109375" style="483" customWidth="1"/>
    <col min="15366" max="15366" width="14" style="483" customWidth="1"/>
    <col min="15367" max="15367" width="17.7109375" style="483" customWidth="1"/>
    <col min="15368" max="15368" width="13.28515625" style="483" customWidth="1"/>
    <col min="15369" max="15369" width="13.85546875" style="483" customWidth="1"/>
    <col min="15370" max="15370" width="15.140625" style="483" customWidth="1"/>
    <col min="15371" max="15371" width="14.28515625" style="483" customWidth="1"/>
    <col min="15372" max="15372" width="18.42578125" style="483" customWidth="1"/>
    <col min="15373" max="15373" width="15.140625" style="483" customWidth="1"/>
    <col min="15374" max="15374" width="20.5703125" style="483" customWidth="1"/>
    <col min="15375" max="15375" width="13.5703125" style="483" bestFit="1" customWidth="1"/>
    <col min="15376" max="15376" width="13.7109375" style="483" bestFit="1" customWidth="1"/>
    <col min="15377" max="15377" width="12.28515625" style="483" bestFit="1" customWidth="1"/>
    <col min="15378" max="15613" width="11.42578125" style="483"/>
    <col min="15614" max="15614" width="8.140625" style="483" customWidth="1"/>
    <col min="15615" max="15615" width="13.140625" style="483" customWidth="1"/>
    <col min="15616" max="15616" width="13.7109375" style="483" customWidth="1"/>
    <col min="15617" max="15617" width="31.42578125" style="483" customWidth="1"/>
    <col min="15618" max="15618" width="8.7109375" style="483" customWidth="1"/>
    <col min="15619" max="15619" width="11.85546875" style="483" customWidth="1"/>
    <col min="15620" max="15620" width="17.7109375" style="483" customWidth="1"/>
    <col min="15621" max="15621" width="18.7109375" style="483" customWidth="1"/>
    <col min="15622" max="15622" width="14" style="483" customWidth="1"/>
    <col min="15623" max="15623" width="17.7109375" style="483" customWidth="1"/>
    <col min="15624" max="15624" width="13.28515625" style="483" customWidth="1"/>
    <col min="15625" max="15625" width="13.85546875" style="483" customWidth="1"/>
    <col min="15626" max="15626" width="15.140625" style="483" customWidth="1"/>
    <col min="15627" max="15627" width="14.28515625" style="483" customWidth="1"/>
    <col min="15628" max="15628" width="18.42578125" style="483" customWidth="1"/>
    <col min="15629" max="15629" width="15.140625" style="483" customWidth="1"/>
    <col min="15630" max="15630" width="20.5703125" style="483" customWidth="1"/>
    <col min="15631" max="15631" width="13.5703125" style="483" bestFit="1" customWidth="1"/>
    <col min="15632" max="15632" width="13.7109375" style="483" bestFit="1" customWidth="1"/>
    <col min="15633" max="15633" width="12.28515625" style="483" bestFit="1" customWidth="1"/>
    <col min="15634" max="15869" width="11.42578125" style="483"/>
    <col min="15870" max="15870" width="8.140625" style="483" customWidth="1"/>
    <col min="15871" max="15871" width="13.140625" style="483" customWidth="1"/>
    <col min="15872" max="15872" width="13.7109375" style="483" customWidth="1"/>
    <col min="15873" max="15873" width="31.42578125" style="483" customWidth="1"/>
    <col min="15874" max="15874" width="8.7109375" style="483" customWidth="1"/>
    <col min="15875" max="15875" width="11.85546875" style="483" customWidth="1"/>
    <col min="15876" max="15876" width="17.7109375" style="483" customWidth="1"/>
    <col min="15877" max="15877" width="18.7109375" style="483" customWidth="1"/>
    <col min="15878" max="15878" width="14" style="483" customWidth="1"/>
    <col min="15879" max="15879" width="17.7109375" style="483" customWidth="1"/>
    <col min="15880" max="15880" width="13.28515625" style="483" customWidth="1"/>
    <col min="15881" max="15881" width="13.85546875" style="483" customWidth="1"/>
    <col min="15882" max="15882" width="15.140625" style="483" customWidth="1"/>
    <col min="15883" max="15883" width="14.28515625" style="483" customWidth="1"/>
    <col min="15884" max="15884" width="18.42578125" style="483" customWidth="1"/>
    <col min="15885" max="15885" width="15.140625" style="483" customWidth="1"/>
    <col min="15886" max="15886" width="20.5703125" style="483" customWidth="1"/>
    <col min="15887" max="15887" width="13.5703125" style="483" bestFit="1" customWidth="1"/>
    <col min="15888" max="15888" width="13.7109375" style="483" bestFit="1" customWidth="1"/>
    <col min="15889" max="15889" width="12.28515625" style="483" bestFit="1" customWidth="1"/>
    <col min="15890" max="16125" width="11.42578125" style="483"/>
    <col min="16126" max="16126" width="8.140625" style="483" customWidth="1"/>
    <col min="16127" max="16127" width="13.140625" style="483" customWidth="1"/>
    <col min="16128" max="16128" width="13.7109375" style="483" customWidth="1"/>
    <col min="16129" max="16129" width="31.42578125" style="483" customWidth="1"/>
    <col min="16130" max="16130" width="8.7109375" style="483" customWidth="1"/>
    <col min="16131" max="16131" width="11.85546875" style="483" customWidth="1"/>
    <col min="16132" max="16132" width="17.7109375" style="483" customWidth="1"/>
    <col min="16133" max="16133" width="18.7109375" style="483" customWidth="1"/>
    <col min="16134" max="16134" width="14" style="483" customWidth="1"/>
    <col min="16135" max="16135" width="17.7109375" style="483" customWidth="1"/>
    <col min="16136" max="16136" width="13.28515625" style="483" customWidth="1"/>
    <col min="16137" max="16137" width="13.85546875" style="483" customWidth="1"/>
    <col min="16138" max="16138" width="15.140625" style="483" customWidth="1"/>
    <col min="16139" max="16139" width="14.28515625" style="483" customWidth="1"/>
    <col min="16140" max="16140" width="18.42578125" style="483" customWidth="1"/>
    <col min="16141" max="16141" width="15.140625" style="483" customWidth="1"/>
    <col min="16142" max="16142" width="20.5703125" style="483" customWidth="1"/>
    <col min="16143" max="16143" width="13.5703125" style="483" bestFit="1" customWidth="1"/>
    <col min="16144" max="16144" width="13.7109375" style="483" bestFit="1" customWidth="1"/>
    <col min="16145" max="16145" width="12.28515625" style="483" bestFit="1" customWidth="1"/>
    <col min="16146" max="16384" width="11.42578125" style="483"/>
  </cols>
  <sheetData>
    <row r="1" spans="1:17" ht="12.75" customHeight="1">
      <c r="A1" s="480"/>
      <c r="B1" s="1386" t="s">
        <v>1041</v>
      </c>
      <c r="C1" s="1387"/>
      <c r="D1" s="1388"/>
      <c r="E1" s="1394" t="s">
        <v>433</v>
      </c>
      <c r="F1" s="1395"/>
      <c r="G1" s="481" t="str">
        <f>DATOS!E12&amp;" "&amp;DATOS!G12&amp;" "&amp;DATOS!I12</f>
        <v xml:space="preserve">  </v>
      </c>
      <c r="H1" s="1391" t="s">
        <v>1044</v>
      </c>
      <c r="I1" s="1391"/>
      <c r="J1" s="1391"/>
      <c r="K1" s="1391"/>
      <c r="L1" s="1391"/>
      <c r="M1" s="1391"/>
      <c r="N1" s="1391"/>
      <c r="O1" s="482"/>
    </row>
    <row r="2" spans="1:17" ht="13.5" thickBot="1">
      <c r="A2" s="484"/>
      <c r="B2" s="1389"/>
      <c r="C2" s="1376"/>
      <c r="D2" s="1390"/>
      <c r="E2" s="1393" t="s">
        <v>434</v>
      </c>
      <c r="F2" s="1279"/>
      <c r="G2" s="485" t="str">
        <f>DATOS!E44&amp;" "&amp;DATOS!G44</f>
        <v xml:space="preserve"> </v>
      </c>
      <c r="H2" s="1277"/>
      <c r="I2" s="1277"/>
      <c r="J2" s="1277"/>
      <c r="K2" s="1277"/>
      <c r="L2" s="1277"/>
      <c r="M2" s="1277"/>
      <c r="N2" s="1277"/>
      <c r="O2" s="486"/>
    </row>
    <row r="3" spans="1:17" ht="12.75">
      <c r="A3" s="484"/>
      <c r="B3" s="1389"/>
      <c r="C3" s="1376"/>
      <c r="D3" s="1390"/>
      <c r="E3" s="1393" t="s">
        <v>435</v>
      </c>
      <c r="F3" s="1279"/>
      <c r="G3" s="487">
        <f>DATOS!E52</f>
        <v>0</v>
      </c>
      <c r="H3" s="1280">
        <f>+DATOS!E38</f>
        <v>0</v>
      </c>
      <c r="I3" s="1281"/>
      <c r="J3" s="1281"/>
      <c r="K3" s="1281"/>
      <c r="L3" s="1281"/>
      <c r="M3" s="1281"/>
      <c r="N3" s="1282"/>
      <c r="O3" s="486"/>
    </row>
    <row r="4" spans="1:17" ht="12.75">
      <c r="A4" s="484"/>
      <c r="B4" s="1389"/>
      <c r="C4" s="1376"/>
      <c r="D4" s="1390"/>
      <c r="E4" s="1393" t="s">
        <v>436</v>
      </c>
      <c r="F4" s="1279"/>
      <c r="G4" s="488" t="s">
        <v>437</v>
      </c>
      <c r="H4" s="1283"/>
      <c r="I4" s="1284"/>
      <c r="J4" s="1284"/>
      <c r="K4" s="1284"/>
      <c r="L4" s="1284"/>
      <c r="M4" s="1284"/>
      <c r="N4" s="1285"/>
      <c r="O4" s="775" t="s">
        <v>1049</v>
      </c>
    </row>
    <row r="5" spans="1:17" ht="12.75">
      <c r="A5" s="484"/>
      <c r="B5" s="770"/>
      <c r="C5" s="771"/>
      <c r="D5" s="771"/>
      <c r="E5" s="1393" t="s">
        <v>438</v>
      </c>
      <c r="F5" s="1279"/>
      <c r="G5" s="489">
        <v>42362</v>
      </c>
      <c r="H5" s="1283"/>
      <c r="I5" s="1284"/>
      <c r="J5" s="1284"/>
      <c r="K5" s="1284"/>
      <c r="L5" s="1284"/>
      <c r="M5" s="1284"/>
      <c r="N5" s="1285"/>
      <c r="O5" s="775" t="s">
        <v>1043</v>
      </c>
    </row>
    <row r="6" spans="1:17" ht="12.75">
      <c r="A6" s="484"/>
      <c r="B6" s="770"/>
      <c r="C6" s="771"/>
      <c r="D6" s="771"/>
      <c r="E6" s="1393" t="s">
        <v>439</v>
      </c>
      <c r="F6" s="1279"/>
      <c r="G6" s="489">
        <v>42381</v>
      </c>
      <c r="H6" s="1283"/>
      <c r="I6" s="1284"/>
      <c r="J6" s="1284"/>
      <c r="K6" s="1284"/>
      <c r="L6" s="1284"/>
      <c r="M6" s="1284"/>
      <c r="N6" s="1285"/>
      <c r="O6" s="775" t="s">
        <v>1042</v>
      </c>
    </row>
    <row r="7" spans="1:17" ht="12.75">
      <c r="A7" s="484"/>
      <c r="B7" s="770"/>
      <c r="C7" s="771"/>
      <c r="D7" s="771"/>
      <c r="E7" s="1393" t="s">
        <v>440</v>
      </c>
      <c r="F7" s="1279"/>
      <c r="G7" s="488" t="s">
        <v>441</v>
      </c>
      <c r="H7" s="1283"/>
      <c r="I7" s="1284"/>
      <c r="J7" s="1284"/>
      <c r="K7" s="1284"/>
      <c r="L7" s="1284"/>
      <c r="M7" s="1284"/>
      <c r="N7" s="1285"/>
      <c r="O7" s="486"/>
    </row>
    <row r="8" spans="1:17" ht="12.75">
      <c r="A8" s="484"/>
      <c r="B8" s="770"/>
      <c r="C8" s="771"/>
      <c r="D8" s="771"/>
      <c r="E8" s="1393" t="s">
        <v>442</v>
      </c>
      <c r="F8" s="1279"/>
      <c r="G8" s="489">
        <v>42447</v>
      </c>
      <c r="H8" s="1283"/>
      <c r="I8" s="1284"/>
      <c r="J8" s="1284"/>
      <c r="K8" s="1284"/>
      <c r="L8" s="1284"/>
      <c r="M8" s="1284"/>
      <c r="N8" s="1285"/>
      <c r="O8" s="486"/>
    </row>
    <row r="9" spans="1:17" ht="12.75">
      <c r="A9" s="484"/>
      <c r="B9" s="770"/>
      <c r="C9" s="771"/>
      <c r="D9" s="771"/>
      <c r="E9" s="1393" t="s">
        <v>443</v>
      </c>
      <c r="F9" s="1279"/>
      <c r="G9" s="489">
        <v>42464</v>
      </c>
      <c r="H9" s="1283"/>
      <c r="I9" s="1284"/>
      <c r="J9" s="1284"/>
      <c r="K9" s="1284"/>
      <c r="L9" s="1284"/>
      <c r="M9" s="1284"/>
      <c r="N9" s="1285"/>
      <c r="O9" s="486"/>
    </row>
    <row r="10" spans="1:17" ht="13.5" thickBot="1">
      <c r="A10" s="484"/>
      <c r="B10" s="770"/>
      <c r="C10" s="771"/>
      <c r="D10" s="771"/>
      <c r="E10" s="1393" t="s">
        <v>444</v>
      </c>
      <c r="F10" s="1279"/>
      <c r="G10" s="489">
        <v>42482</v>
      </c>
      <c r="H10" s="1286"/>
      <c r="I10" s="1287"/>
      <c r="J10" s="1287"/>
      <c r="K10" s="1287"/>
      <c r="L10" s="1287"/>
      <c r="M10" s="1287"/>
      <c r="N10" s="1288"/>
      <c r="O10" s="486"/>
    </row>
    <row r="11" spans="1:17" ht="27.75" customHeight="1" thickBot="1">
      <c r="A11" s="484"/>
      <c r="B11" s="770"/>
      <c r="C11" s="771"/>
      <c r="D11" s="771"/>
      <c r="E11" s="1392" t="s">
        <v>445</v>
      </c>
      <c r="F11" s="1289"/>
      <c r="G11" s="490">
        <f>K28</f>
        <v>756702320</v>
      </c>
      <c r="H11" s="491" t="s">
        <v>446</v>
      </c>
      <c r="I11" s="1290">
        <f>N28-K28</f>
        <v>336537771</v>
      </c>
      <c r="J11" s="1291"/>
      <c r="K11" s="492" t="s">
        <v>447</v>
      </c>
      <c r="L11" s="1290">
        <f>+K30</f>
        <v>817176020</v>
      </c>
      <c r="M11" s="1293"/>
      <c r="N11" s="1291"/>
      <c r="O11" s="1062" t="s">
        <v>1045</v>
      </c>
    </row>
    <row r="12" spans="1:17" ht="27.75" customHeight="1" thickBot="1">
      <c r="A12" s="484"/>
      <c r="B12" s="770"/>
      <c r="C12" s="771"/>
      <c r="D12" s="771"/>
      <c r="E12" s="1392" t="s">
        <v>448</v>
      </c>
      <c r="F12" s="1289"/>
      <c r="G12" s="490">
        <f>K29</f>
        <v>60473700</v>
      </c>
      <c r="H12" s="491" t="s">
        <v>446</v>
      </c>
      <c r="I12" s="1290">
        <f>I11*0.07992</f>
        <v>26896098.658320002</v>
      </c>
      <c r="J12" s="1291"/>
      <c r="K12" s="492"/>
      <c r="L12" s="493"/>
      <c r="M12" s="493"/>
      <c r="N12" s="494"/>
      <c r="O12" s="1062"/>
    </row>
    <row r="13" spans="1:17" ht="27.75" customHeight="1" thickBot="1">
      <c r="A13" s="484"/>
      <c r="B13" s="770"/>
      <c r="C13" s="771"/>
      <c r="D13" s="771"/>
      <c r="E13" s="1392" t="s">
        <v>449</v>
      </c>
      <c r="F13" s="1289"/>
      <c r="G13" s="490">
        <f>K30</f>
        <v>817176020</v>
      </c>
      <c r="H13" s="495" t="s">
        <v>450</v>
      </c>
      <c r="I13" s="1290">
        <f>I12+I11</f>
        <v>363433869.65832001</v>
      </c>
      <c r="J13" s="1291"/>
      <c r="K13" s="492"/>
      <c r="L13" s="1293"/>
      <c r="M13" s="1293"/>
      <c r="N13" s="494"/>
      <c r="O13" s="1062"/>
    </row>
    <row r="14" spans="1:17" ht="13.5" customHeight="1" thickBot="1">
      <c r="A14" s="484"/>
      <c r="B14" s="772"/>
      <c r="C14" s="773"/>
      <c r="D14" s="774"/>
      <c r="E14" s="1392" t="s">
        <v>451</v>
      </c>
      <c r="F14" s="1294"/>
      <c r="G14" s="1294"/>
      <c r="H14" s="1295">
        <f>+N30</f>
        <v>1180609889.65832</v>
      </c>
      <c r="I14" s="1296"/>
      <c r="J14" s="1296"/>
      <c r="K14" s="1296"/>
      <c r="L14" s="1296"/>
      <c r="M14" s="1296"/>
      <c r="N14" s="1297"/>
      <c r="O14" s="1062"/>
      <c r="Q14" s="496"/>
    </row>
    <row r="15" spans="1:17" ht="13.5" thickBot="1">
      <c r="A15" s="484"/>
      <c r="B15" s="1479"/>
      <c r="C15" s="1300"/>
      <c r="D15" s="1480"/>
      <c r="E15" s="1484" t="s">
        <v>452</v>
      </c>
      <c r="F15" s="1302"/>
      <c r="G15" s="1303"/>
      <c r="H15" s="1304">
        <f>I13/G13</f>
        <v>0.4447436791626852</v>
      </c>
      <c r="I15" s="1305"/>
      <c r="J15" s="1305"/>
      <c r="K15" s="1305"/>
      <c r="L15" s="1305"/>
      <c r="M15" s="1305"/>
      <c r="N15" s="1306"/>
      <c r="O15" s="486"/>
      <c r="Q15" s="496"/>
    </row>
    <row r="16" spans="1:17" ht="13.5" thickBot="1">
      <c r="A16" s="484"/>
      <c r="B16" s="1481"/>
      <c r="C16" s="1482"/>
      <c r="D16" s="1483"/>
      <c r="E16" s="1485" t="s">
        <v>4</v>
      </c>
      <c r="F16" s="1308"/>
      <c r="G16" s="1309" t="s">
        <v>453</v>
      </c>
      <c r="H16" s="1310"/>
      <c r="I16" s="1310"/>
      <c r="J16" s="1310"/>
      <c r="K16" s="1310"/>
      <c r="L16" s="1310"/>
      <c r="M16" s="1310"/>
      <c r="N16" s="1311"/>
      <c r="O16" s="486"/>
    </row>
    <row r="17" spans="1:20" ht="13.5" thickBot="1">
      <c r="A17" s="484"/>
      <c r="B17" s="1486"/>
      <c r="C17" s="1487"/>
      <c r="D17" s="1488"/>
      <c r="E17" s="1489" t="s">
        <v>401</v>
      </c>
      <c r="F17" s="1315"/>
      <c r="G17" s="1309" t="s">
        <v>454</v>
      </c>
      <c r="H17" s="1310"/>
      <c r="I17" s="1310"/>
      <c r="J17" s="1310"/>
      <c r="K17" s="1310"/>
      <c r="L17" s="1310"/>
      <c r="M17" s="1310"/>
      <c r="N17" s="1311"/>
      <c r="O17" s="486"/>
    </row>
    <row r="18" spans="1:20" ht="12.75" customHeight="1">
      <c r="A18" s="484"/>
      <c r="B18" s="497"/>
      <c r="C18" s="498"/>
      <c r="D18" s="498"/>
      <c r="E18" s="1459"/>
      <c r="F18" s="1462" t="s">
        <v>455</v>
      </c>
      <c r="G18" s="1463"/>
      <c r="H18" s="1464"/>
      <c r="I18" s="1322" t="s">
        <v>97</v>
      </c>
      <c r="J18" s="1294"/>
      <c r="K18" s="1323"/>
      <c r="L18" s="1280" t="s">
        <v>456</v>
      </c>
      <c r="M18" s="1281"/>
      <c r="N18" s="1281"/>
      <c r="O18" s="1282" t="s">
        <v>457</v>
      </c>
    </row>
    <row r="19" spans="1:20" ht="15" customHeight="1">
      <c r="A19" s="484"/>
      <c r="B19" s="497"/>
      <c r="C19" s="498"/>
      <c r="D19" s="498"/>
      <c r="E19" s="1460"/>
      <c r="F19" s="1465"/>
      <c r="G19" s="1466"/>
      <c r="H19" s="1467"/>
      <c r="I19" s="1471"/>
      <c r="J19" s="1472"/>
      <c r="K19" s="1473"/>
      <c r="L19" s="1283"/>
      <c r="M19" s="1284"/>
      <c r="N19" s="1284"/>
      <c r="O19" s="1285"/>
    </row>
    <row r="20" spans="1:20" ht="15.75" customHeight="1" thickBot="1">
      <c r="A20" s="484"/>
      <c r="B20" s="1477"/>
      <c r="C20" s="1478"/>
      <c r="D20" s="1478"/>
      <c r="E20" s="1461"/>
      <c r="F20" s="1468"/>
      <c r="G20" s="1469"/>
      <c r="H20" s="1470"/>
      <c r="I20" s="1474"/>
      <c r="J20" s="1475"/>
      <c r="K20" s="1476"/>
      <c r="L20" s="1286"/>
      <c r="M20" s="1287"/>
      <c r="N20" s="1287"/>
      <c r="O20" s="1285"/>
    </row>
    <row r="21" spans="1:20" s="504" customFormat="1">
      <c r="A21" s="499"/>
      <c r="B21" s="500" t="s">
        <v>458</v>
      </c>
      <c r="C21" s="501"/>
      <c r="D21" s="501"/>
      <c r="E21" s="501"/>
      <c r="F21" s="1356"/>
      <c r="G21" s="1357"/>
      <c r="H21" s="502">
        <f>+H314</f>
        <v>570165150</v>
      </c>
      <c r="I21" s="505"/>
      <c r="J21" s="505"/>
      <c r="K21" s="503">
        <f>+K314</f>
        <v>569805964</v>
      </c>
      <c r="L21" s="505"/>
      <c r="M21" s="777">
        <f>N21-K21</f>
        <v>253851969</v>
      </c>
      <c r="N21" s="502">
        <f>+N314</f>
        <v>823657933</v>
      </c>
      <c r="O21" s="1451"/>
    </row>
    <row r="22" spans="1:20" s="504" customFormat="1">
      <c r="A22" s="499"/>
      <c r="B22" s="505" t="s">
        <v>459</v>
      </c>
      <c r="C22" s="506"/>
      <c r="D22" s="506"/>
      <c r="E22" s="506"/>
      <c r="F22" s="505"/>
      <c r="G22" s="507">
        <v>0.24</v>
      </c>
      <c r="H22" s="508">
        <f>+ROUND(H$21*$G22,0)</f>
        <v>136839636</v>
      </c>
      <c r="I22" s="505"/>
      <c r="J22" s="505"/>
      <c r="K22" s="509">
        <f>+ROUND(K$21*$G22,0)</f>
        <v>136753431</v>
      </c>
      <c r="L22" s="505"/>
      <c r="M22" s="505"/>
      <c r="N22" s="509">
        <f>+ROUND(N$21*$G22,0)</f>
        <v>197677904</v>
      </c>
      <c r="O22" s="1452"/>
    </row>
    <row r="23" spans="1:20" s="504" customFormat="1">
      <c r="A23" s="499"/>
      <c r="B23" s="505" t="s">
        <v>460</v>
      </c>
      <c r="C23" s="506"/>
      <c r="D23" s="506"/>
      <c r="E23" s="506"/>
      <c r="F23" s="505"/>
      <c r="G23" s="507">
        <v>0.03</v>
      </c>
      <c r="H23" s="509">
        <f>+ROUND(H$21*$G23,0)</f>
        <v>17104955</v>
      </c>
      <c r="I23" s="505"/>
      <c r="J23" s="505"/>
      <c r="K23" s="509">
        <f>+ROUND(K$21*$G23,0)</f>
        <v>17094179</v>
      </c>
      <c r="L23" s="505"/>
      <c r="M23" s="505"/>
      <c r="N23" s="509">
        <f>+ROUND(N$21*$G23,0)</f>
        <v>24709738</v>
      </c>
      <c r="O23" s="1452"/>
    </row>
    <row r="24" spans="1:20" s="504" customFormat="1">
      <c r="A24" s="499"/>
      <c r="B24" s="505" t="s">
        <v>461</v>
      </c>
      <c r="C24" s="506"/>
      <c r="D24" s="506"/>
      <c r="E24" s="506"/>
      <c r="F24" s="505"/>
      <c r="G24" s="507">
        <v>0.05</v>
      </c>
      <c r="H24" s="509">
        <f>+ROUND(H$21*$G24,0)</f>
        <v>28508258</v>
      </c>
      <c r="I24" s="505"/>
      <c r="J24" s="505"/>
      <c r="K24" s="509">
        <f>+ROUND(K$21*$G24,0)</f>
        <v>28490298</v>
      </c>
      <c r="L24" s="505"/>
      <c r="M24" s="505"/>
      <c r="N24" s="509">
        <f>+ROUND(N$21*$G24,0)</f>
        <v>41182897</v>
      </c>
      <c r="O24" s="1452"/>
    </row>
    <row r="25" spans="1:20" s="504" customFormat="1">
      <c r="A25" s="499"/>
      <c r="B25" s="510" t="s">
        <v>462</v>
      </c>
      <c r="C25" s="511"/>
      <c r="D25" s="511"/>
      <c r="E25" s="511"/>
      <c r="F25" s="510"/>
      <c r="G25" s="512"/>
      <c r="H25" s="513">
        <f>+ROUND(H21*0.32+H26,0)</f>
        <v>187014169</v>
      </c>
      <c r="I25" s="505"/>
      <c r="J25" s="505"/>
      <c r="K25" s="513">
        <f>+ROUND(K21*0.32+K26,0)</f>
        <v>186896356</v>
      </c>
      <c r="L25" s="505"/>
      <c r="M25" s="505"/>
      <c r="N25" s="513">
        <f>N22+N23+N24</f>
        <v>263570539</v>
      </c>
      <c r="O25" s="1452"/>
    </row>
    <row r="26" spans="1:20" s="504" customFormat="1" ht="16.5" thickBot="1">
      <c r="A26" s="499"/>
      <c r="B26" s="510" t="s">
        <v>463</v>
      </c>
      <c r="C26" s="511"/>
      <c r="D26" s="511"/>
      <c r="E26" s="511"/>
      <c r="F26" s="510"/>
      <c r="G26" s="507">
        <v>0.16</v>
      </c>
      <c r="H26" s="509">
        <f>+ROUND(H24*$G26,0)</f>
        <v>4561321</v>
      </c>
      <c r="I26" s="505"/>
      <c r="J26" s="505"/>
      <c r="K26" s="513">
        <f>+ROUND(K24*G26,0)</f>
        <v>4558448</v>
      </c>
      <c r="L26" s="505"/>
      <c r="M26" s="505"/>
      <c r="N26" s="513">
        <f>+ROUND(N24*G26,0)</f>
        <v>6589264</v>
      </c>
      <c r="O26" s="1452"/>
    </row>
    <row r="27" spans="1:20" s="504" customFormat="1" ht="16.5" thickBot="1">
      <c r="A27" s="499"/>
      <c r="B27" s="1454" t="s">
        <v>464</v>
      </c>
      <c r="C27" s="1454"/>
      <c r="D27" s="1454"/>
      <c r="E27" s="1455"/>
      <c r="F27" s="514"/>
      <c r="G27" s="515"/>
      <c r="H27" s="516"/>
      <c r="I27" s="505"/>
      <c r="J27" s="505"/>
      <c r="K27" s="513"/>
      <c r="L27" s="505"/>
      <c r="M27" s="505"/>
      <c r="N27" s="513">
        <v>577645</v>
      </c>
      <c r="O27" s="1452"/>
    </row>
    <row r="28" spans="1:20" s="504" customFormat="1" ht="16.5" customHeight="1">
      <c r="A28" s="499"/>
      <c r="B28" s="517" t="s">
        <v>465</v>
      </c>
      <c r="C28" s="518"/>
      <c r="D28" s="518"/>
      <c r="E28" s="518"/>
      <c r="F28" s="517"/>
      <c r="G28" s="519"/>
      <c r="H28" s="520">
        <f>H21+H25</f>
        <v>757179319</v>
      </c>
      <c r="I28" s="505"/>
      <c r="J28" s="505"/>
      <c r="K28" s="520">
        <f>K21+K25</f>
        <v>756702320</v>
      </c>
      <c r="L28" s="505"/>
      <c r="M28" s="505"/>
      <c r="N28" s="520">
        <f>N21+N25+N26-N27</f>
        <v>1093240091</v>
      </c>
      <c r="O28" s="1452"/>
    </row>
    <row r="29" spans="1:20" s="504" customFormat="1" ht="16.5" thickBot="1">
      <c r="A29" s="499"/>
      <c r="B29" s="1456" t="s">
        <v>466</v>
      </c>
      <c r="C29" s="1457"/>
      <c r="D29" s="1457"/>
      <c r="E29" s="1458"/>
      <c r="F29" s="521"/>
      <c r="G29" s="522"/>
      <c r="H29" s="523"/>
      <c r="I29" s="505"/>
      <c r="J29" s="505"/>
      <c r="K29" s="513">
        <v>60473700</v>
      </c>
      <c r="L29" s="776">
        <v>7.9920000000000005E-2</v>
      </c>
      <c r="M29" s="505"/>
      <c r="N29" s="513">
        <f>I12+K29</f>
        <v>87369798.65832001</v>
      </c>
      <c r="O29" s="1452"/>
    </row>
    <row r="30" spans="1:20" s="504" customFormat="1" ht="16.5" thickBot="1">
      <c r="A30" s="524"/>
      <c r="B30" s="525" t="s">
        <v>117</v>
      </c>
      <c r="C30" s="525"/>
      <c r="D30" s="525"/>
      <c r="E30" s="525"/>
      <c r="F30" s="526"/>
      <c r="G30" s="527"/>
      <c r="H30" s="520">
        <f>+H28</f>
        <v>757179319</v>
      </c>
      <c r="I30" s="505"/>
      <c r="J30" s="505"/>
      <c r="K30" s="520">
        <f>K29+K28</f>
        <v>817176020</v>
      </c>
      <c r="L30" s="505"/>
      <c r="M30" s="505"/>
      <c r="N30" s="528">
        <f>N29+N28</f>
        <v>1180609889.65832</v>
      </c>
      <c r="O30" s="1452"/>
      <c r="P30" s="529"/>
    </row>
    <row r="31" spans="1:20" s="504" customFormat="1" ht="39" customHeight="1" thickBot="1">
      <c r="A31" s="530" t="s">
        <v>467</v>
      </c>
      <c r="B31" s="1328" t="s">
        <v>468</v>
      </c>
      <c r="C31" s="1328"/>
      <c r="D31" s="1329"/>
      <c r="E31" s="531" t="s">
        <v>469</v>
      </c>
      <c r="F31" s="532" t="s">
        <v>118</v>
      </c>
      <c r="G31" s="533" t="s">
        <v>470</v>
      </c>
      <c r="H31" s="534" t="s">
        <v>471</v>
      </c>
      <c r="I31" s="535" t="s">
        <v>317</v>
      </c>
      <c r="J31" s="535" t="s">
        <v>470</v>
      </c>
      <c r="K31" s="535" t="s">
        <v>472</v>
      </c>
      <c r="L31" s="535" t="s">
        <v>317</v>
      </c>
      <c r="M31" s="535" t="s">
        <v>470</v>
      </c>
      <c r="N31" s="535" t="s">
        <v>406</v>
      </c>
      <c r="O31" s="1453"/>
      <c r="P31" s="536"/>
    </row>
    <row r="32" spans="1:20" s="550" customFormat="1" ht="20.25" customHeight="1">
      <c r="A32" s="537">
        <v>1</v>
      </c>
      <c r="B32" s="1330" t="s">
        <v>473</v>
      </c>
      <c r="C32" s="1331"/>
      <c r="D32" s="1332"/>
      <c r="E32" s="538"/>
      <c r="F32" s="539"/>
      <c r="G32" s="540"/>
      <c r="H32" s="541"/>
      <c r="I32" s="542"/>
      <c r="J32" s="543"/>
      <c r="K32" s="544"/>
      <c r="L32" s="545"/>
      <c r="M32" s="546"/>
      <c r="N32" s="547"/>
      <c r="O32" s="548"/>
      <c r="P32" s="549"/>
      <c r="Q32" s="549"/>
      <c r="S32" s="551"/>
      <c r="T32" s="549"/>
    </row>
    <row r="33" spans="1:20" s="550" customFormat="1" ht="40.5" customHeight="1">
      <c r="A33" s="552">
        <v>1.1000000000000001</v>
      </c>
      <c r="B33" s="1350" t="s">
        <v>474</v>
      </c>
      <c r="C33" s="1351"/>
      <c r="D33" s="1352"/>
      <c r="E33" s="553" t="s">
        <v>475</v>
      </c>
      <c r="F33" s="554">
        <v>140</v>
      </c>
      <c r="G33" s="555">
        <v>4098</v>
      </c>
      <c r="H33" s="556">
        <f>+ROUND(F33*G33,0)</f>
        <v>573720</v>
      </c>
      <c r="I33" s="557">
        <v>140</v>
      </c>
      <c r="J33" s="555">
        <v>4090</v>
      </c>
      <c r="K33" s="558">
        <f>+ROUND(I33*J33,0)</f>
        <v>572600</v>
      </c>
      <c r="L33" s="545">
        <f>'[3]ACTA MOD. reformulacion'!K24</f>
        <v>1481.85</v>
      </c>
      <c r="M33" s="546">
        <v>4090</v>
      </c>
      <c r="N33" s="547">
        <f>ROUND(+L33*M33,0)</f>
        <v>6060767</v>
      </c>
      <c r="O33" s="559" t="s">
        <v>476</v>
      </c>
      <c r="P33" s="549"/>
      <c r="Q33" s="549">
        <f>1481.85*4090</f>
        <v>6060766.5</v>
      </c>
      <c r="S33" s="551"/>
      <c r="T33" s="549"/>
    </row>
    <row r="34" spans="1:20" s="550" customFormat="1" ht="33" customHeight="1">
      <c r="A34" s="552">
        <v>1.2</v>
      </c>
      <c r="B34" s="1350" t="s">
        <v>477</v>
      </c>
      <c r="C34" s="1351"/>
      <c r="D34" s="1352"/>
      <c r="E34" s="553" t="s">
        <v>475</v>
      </c>
      <c r="F34" s="554">
        <v>140</v>
      </c>
      <c r="G34" s="555">
        <v>3030</v>
      </c>
      <c r="H34" s="556">
        <f t="shared" ref="H34:H43" si="0">+ROUND(F34*G34,0)</f>
        <v>424200</v>
      </c>
      <c r="I34" s="557">
        <v>140</v>
      </c>
      <c r="J34" s="555">
        <v>3000</v>
      </c>
      <c r="K34" s="558">
        <f t="shared" ref="K34:K43" si="1">+ROUND(I34*J34,0)</f>
        <v>420000</v>
      </c>
      <c r="L34" s="545">
        <f>'[3]ACTA MOD. reformulacion'!K25</f>
        <v>1481.85</v>
      </c>
      <c r="M34" s="546">
        <v>3000</v>
      </c>
      <c r="N34" s="560">
        <f t="shared" ref="N34:N43" si="2">ROUND(+L34*M34,0)</f>
        <v>4445550</v>
      </c>
      <c r="O34" s="559" t="s">
        <v>478</v>
      </c>
      <c r="P34" s="549"/>
      <c r="Q34" s="549">
        <f>1481.85*3000</f>
        <v>4445550</v>
      </c>
      <c r="S34" s="551"/>
      <c r="T34" s="549"/>
    </row>
    <row r="35" spans="1:20" s="550" customFormat="1" ht="74.25" customHeight="1">
      <c r="A35" s="561">
        <v>1.3</v>
      </c>
      <c r="B35" s="1448" t="s">
        <v>479</v>
      </c>
      <c r="C35" s="1449"/>
      <c r="D35" s="1450"/>
      <c r="E35" s="553" t="s">
        <v>480</v>
      </c>
      <c r="F35" s="562">
        <v>1783.15</v>
      </c>
      <c r="G35" s="563">
        <v>23766</v>
      </c>
      <c r="H35" s="556">
        <v>42378277</v>
      </c>
      <c r="I35" s="564">
        <v>1783.15</v>
      </c>
      <c r="J35" s="563">
        <v>23700</v>
      </c>
      <c r="K35" s="558">
        <f t="shared" si="1"/>
        <v>42260655</v>
      </c>
      <c r="L35" s="545">
        <f>'[3]ACTA MOD. reformulacion'!K26</f>
        <v>4092.7399800000003</v>
      </c>
      <c r="M35" s="546">
        <v>23700</v>
      </c>
      <c r="N35" s="547">
        <f t="shared" si="2"/>
        <v>96997938</v>
      </c>
      <c r="O35" s="559" t="s">
        <v>481</v>
      </c>
      <c r="P35" s="549"/>
      <c r="Q35" s="549">
        <f>4092.74*23700</f>
        <v>96997938</v>
      </c>
      <c r="S35" s="551"/>
      <c r="T35" s="549"/>
    </row>
    <row r="36" spans="1:20" s="550" customFormat="1" ht="32.25" customHeight="1">
      <c r="A36" s="552">
        <v>1.4</v>
      </c>
      <c r="B36" s="1350" t="s">
        <v>482</v>
      </c>
      <c r="C36" s="1351"/>
      <c r="D36" s="1352"/>
      <c r="E36" s="553" t="s">
        <v>480</v>
      </c>
      <c r="F36" s="554">
        <v>178.3</v>
      </c>
      <c r="G36" s="555">
        <v>48506</v>
      </c>
      <c r="H36" s="556">
        <f t="shared" si="0"/>
        <v>8648620</v>
      </c>
      <c r="I36" s="557">
        <v>178.3</v>
      </c>
      <c r="J36" s="555">
        <v>48500</v>
      </c>
      <c r="K36" s="558">
        <f t="shared" si="1"/>
        <v>8647550</v>
      </c>
      <c r="L36" s="545">
        <f>'[3]ACTA MOD. reformulacion'!K27</f>
        <v>1132.1000000000001</v>
      </c>
      <c r="M36" s="546">
        <v>48500</v>
      </c>
      <c r="N36" s="547">
        <f t="shared" si="2"/>
        <v>54906850</v>
      </c>
      <c r="O36" s="559" t="s">
        <v>483</v>
      </c>
      <c r="P36" s="549"/>
      <c r="Q36" s="549">
        <f>1132.1*48500</f>
        <v>54906849.999999993</v>
      </c>
      <c r="S36" s="551"/>
      <c r="T36" s="549"/>
    </row>
    <row r="37" spans="1:20" s="550" customFormat="1" ht="22.5" customHeight="1">
      <c r="A37" s="552">
        <v>1.5</v>
      </c>
      <c r="B37" s="1350" t="s">
        <v>484</v>
      </c>
      <c r="C37" s="1351"/>
      <c r="D37" s="1352"/>
      <c r="E37" s="553" t="s">
        <v>480</v>
      </c>
      <c r="F37" s="554">
        <v>196.14</v>
      </c>
      <c r="G37" s="555">
        <v>12890</v>
      </c>
      <c r="H37" s="556">
        <v>2528306</v>
      </c>
      <c r="I37" s="557">
        <v>196.14</v>
      </c>
      <c r="J37" s="555">
        <v>12890</v>
      </c>
      <c r="K37" s="558">
        <f t="shared" si="1"/>
        <v>2528245</v>
      </c>
      <c r="L37" s="545">
        <f>'[3]ACTA MOD. reformulacion'!K28</f>
        <v>983.65</v>
      </c>
      <c r="M37" s="546">
        <v>12890</v>
      </c>
      <c r="N37" s="547">
        <f t="shared" si="2"/>
        <v>12679249</v>
      </c>
      <c r="O37" s="559" t="s">
        <v>485</v>
      </c>
      <c r="P37" s="549"/>
      <c r="Q37" s="549">
        <f>983.65*12890</f>
        <v>12679248.5</v>
      </c>
      <c r="S37" s="551"/>
      <c r="T37" s="549"/>
    </row>
    <row r="38" spans="1:20" s="550" customFormat="1" ht="23.25" customHeight="1">
      <c r="A38" s="552">
        <v>1.6</v>
      </c>
      <c r="B38" s="1350" t="s">
        <v>486</v>
      </c>
      <c r="C38" s="1351"/>
      <c r="D38" s="1352"/>
      <c r="E38" s="553" t="s">
        <v>480</v>
      </c>
      <c r="F38" s="554">
        <v>17.57</v>
      </c>
      <c r="G38" s="555">
        <v>73656</v>
      </c>
      <c r="H38" s="556">
        <f t="shared" si="0"/>
        <v>1294136</v>
      </c>
      <c r="I38" s="557">
        <v>17.57</v>
      </c>
      <c r="J38" s="555">
        <v>73650</v>
      </c>
      <c r="K38" s="558">
        <f t="shared" si="1"/>
        <v>1294031</v>
      </c>
      <c r="L38" s="545">
        <f>'[3]ACTA MOD. reformulacion'!K29</f>
        <v>0</v>
      </c>
      <c r="M38" s="546">
        <v>73650</v>
      </c>
      <c r="N38" s="547">
        <f t="shared" si="2"/>
        <v>0</v>
      </c>
      <c r="O38" s="559" t="s">
        <v>487</v>
      </c>
      <c r="P38" s="549"/>
      <c r="Q38" s="549">
        <f>0*0</f>
        <v>0</v>
      </c>
      <c r="S38" s="551"/>
      <c r="T38" s="549"/>
    </row>
    <row r="39" spans="1:20" s="550" customFormat="1" ht="24" customHeight="1">
      <c r="A39" s="552">
        <v>1.7</v>
      </c>
      <c r="B39" s="1350" t="s">
        <v>488</v>
      </c>
      <c r="C39" s="1351"/>
      <c r="D39" s="1352"/>
      <c r="E39" s="553" t="s">
        <v>480</v>
      </c>
      <c r="F39" s="554">
        <v>11.42</v>
      </c>
      <c r="G39" s="555">
        <v>515650</v>
      </c>
      <c r="H39" s="556">
        <v>5890786</v>
      </c>
      <c r="I39" s="557">
        <v>11.42</v>
      </c>
      <c r="J39" s="555">
        <v>515650</v>
      </c>
      <c r="K39" s="558">
        <f t="shared" si="1"/>
        <v>5888723</v>
      </c>
      <c r="L39" s="565">
        <f>'[3]ACTA MOD. reformulacion'!K30</f>
        <v>23.445</v>
      </c>
      <c r="M39" s="546">
        <v>515650</v>
      </c>
      <c r="N39" s="547">
        <f t="shared" si="2"/>
        <v>12089414</v>
      </c>
      <c r="O39" s="566" t="s">
        <v>489</v>
      </c>
      <c r="P39" s="567">
        <f>23.45-11.42</f>
        <v>12.03</v>
      </c>
      <c r="Q39" s="549">
        <f>23.45*515650</f>
        <v>12091992.5</v>
      </c>
      <c r="S39" s="551"/>
      <c r="T39" s="549"/>
    </row>
    <row r="40" spans="1:20" s="550" customFormat="1" ht="16.5" customHeight="1">
      <c r="A40" s="552">
        <v>1.8</v>
      </c>
      <c r="B40" s="1350" t="s">
        <v>490</v>
      </c>
      <c r="C40" s="1351"/>
      <c r="D40" s="1352"/>
      <c r="E40" s="553" t="s">
        <v>491</v>
      </c>
      <c r="F40" s="554">
        <v>2</v>
      </c>
      <c r="G40" s="555">
        <v>387588</v>
      </c>
      <c r="H40" s="556">
        <f t="shared" si="0"/>
        <v>775176</v>
      </c>
      <c r="I40" s="557">
        <v>2</v>
      </c>
      <c r="J40" s="555">
        <v>387580</v>
      </c>
      <c r="K40" s="558">
        <f t="shared" si="1"/>
        <v>775160</v>
      </c>
      <c r="L40" s="545">
        <f>'[3]ACTA MOD. reformulacion'!K31</f>
        <v>0</v>
      </c>
      <c r="M40" s="546">
        <v>387580</v>
      </c>
      <c r="N40" s="547">
        <f t="shared" si="2"/>
        <v>0</v>
      </c>
      <c r="O40" s="559" t="s">
        <v>492</v>
      </c>
      <c r="P40" s="549"/>
      <c r="Q40" s="549">
        <f>0*0</f>
        <v>0</v>
      </c>
      <c r="S40" s="551"/>
      <c r="T40" s="549"/>
    </row>
    <row r="41" spans="1:20" s="550" customFormat="1" ht="47.25" customHeight="1">
      <c r="A41" s="552" t="s">
        <v>493</v>
      </c>
      <c r="B41" s="1350" t="s">
        <v>494</v>
      </c>
      <c r="C41" s="1351"/>
      <c r="D41" s="1352"/>
      <c r="E41" s="553" t="s">
        <v>491</v>
      </c>
      <c r="F41" s="554">
        <v>7</v>
      </c>
      <c r="G41" s="555">
        <v>1334315</v>
      </c>
      <c r="H41" s="556">
        <f t="shared" si="0"/>
        <v>9340205</v>
      </c>
      <c r="I41" s="557">
        <v>7</v>
      </c>
      <c r="J41" s="555">
        <v>1334310</v>
      </c>
      <c r="K41" s="558">
        <f t="shared" si="1"/>
        <v>9340170</v>
      </c>
      <c r="L41" s="545">
        <f>'[3]ACTA MOD. reformulacion'!K32</f>
        <v>0</v>
      </c>
      <c r="M41" s="546">
        <v>1334310</v>
      </c>
      <c r="N41" s="547">
        <f t="shared" si="2"/>
        <v>0</v>
      </c>
      <c r="O41" s="559" t="s">
        <v>495</v>
      </c>
      <c r="P41" s="549"/>
      <c r="Q41" s="549">
        <f>0*0</f>
        <v>0</v>
      </c>
      <c r="S41" s="551"/>
      <c r="T41" s="549"/>
    </row>
    <row r="42" spans="1:20" s="550" customFormat="1" ht="86.25" customHeight="1">
      <c r="A42" s="552" t="s">
        <v>496</v>
      </c>
      <c r="B42" s="1350" t="s">
        <v>497</v>
      </c>
      <c r="C42" s="1351"/>
      <c r="D42" s="1352"/>
      <c r="E42" s="553" t="s">
        <v>498</v>
      </c>
      <c r="F42" s="554">
        <v>60</v>
      </c>
      <c r="G42" s="555">
        <v>58217</v>
      </c>
      <c r="H42" s="556">
        <f t="shared" si="0"/>
        <v>3493020</v>
      </c>
      <c r="I42" s="557">
        <v>60</v>
      </c>
      <c r="J42" s="555">
        <v>58215</v>
      </c>
      <c r="K42" s="558">
        <f t="shared" si="1"/>
        <v>3492900</v>
      </c>
      <c r="L42" s="565">
        <f>'[3]ACTA MOD. reformulacion'!K33</f>
        <v>180</v>
      </c>
      <c r="M42" s="546">
        <v>58215</v>
      </c>
      <c r="N42" s="547">
        <f t="shared" si="2"/>
        <v>10478700</v>
      </c>
      <c r="O42" s="559" t="s">
        <v>499</v>
      </c>
      <c r="P42" s="549"/>
      <c r="Q42" s="549">
        <f>180*58215</f>
        <v>10478700</v>
      </c>
      <c r="S42" s="551"/>
      <c r="T42" s="549"/>
    </row>
    <row r="43" spans="1:20" s="550" customFormat="1" ht="27" customHeight="1">
      <c r="A43" s="552" t="s">
        <v>500</v>
      </c>
      <c r="B43" s="1350" t="s">
        <v>501</v>
      </c>
      <c r="C43" s="1351"/>
      <c r="D43" s="1352"/>
      <c r="E43" s="553" t="s">
        <v>502</v>
      </c>
      <c r="F43" s="554">
        <v>1</v>
      </c>
      <c r="G43" s="555">
        <v>320817</v>
      </c>
      <c r="H43" s="556">
        <f t="shared" si="0"/>
        <v>320817</v>
      </c>
      <c r="I43" s="557">
        <v>1</v>
      </c>
      <c r="J43" s="555">
        <v>320810</v>
      </c>
      <c r="K43" s="558">
        <f t="shared" si="1"/>
        <v>320810</v>
      </c>
      <c r="L43" s="545">
        <f>'[3]ACTA MOD. reformulacion'!K34</f>
        <v>2</v>
      </c>
      <c r="M43" s="546">
        <v>320810</v>
      </c>
      <c r="N43" s="547">
        <f t="shared" si="2"/>
        <v>641620</v>
      </c>
      <c r="O43" s="559" t="s">
        <v>503</v>
      </c>
      <c r="P43" s="549"/>
      <c r="Q43" s="549">
        <f>2*320810</f>
        <v>641620</v>
      </c>
      <c r="S43" s="551"/>
      <c r="T43" s="549"/>
    </row>
    <row r="44" spans="1:20" s="571" customFormat="1" ht="15.75" customHeight="1">
      <c r="A44" s="568"/>
      <c r="B44" s="1353"/>
      <c r="C44" s="1354"/>
      <c r="D44" s="1355"/>
      <c r="E44" s="569"/>
      <c r="F44" s="1343" t="s">
        <v>504</v>
      </c>
      <c r="G44" s="1344"/>
      <c r="H44" s="570">
        <f>+SUM(H33:H43)</f>
        <v>75667263</v>
      </c>
      <c r="I44" s="1345" t="s">
        <v>504</v>
      </c>
      <c r="J44" s="1344"/>
      <c r="K44" s="570">
        <f>SUM(K33:K43)</f>
        <v>75540844</v>
      </c>
      <c r="L44" s="545">
        <f>'[3]ACTA MOD. reformulacion'!K35</f>
        <v>0</v>
      </c>
      <c r="M44" s="546"/>
      <c r="N44" s="570">
        <f>SUM(N33:N43)</f>
        <v>198300088</v>
      </c>
      <c r="O44" s="559"/>
      <c r="P44" s="549"/>
      <c r="Q44" s="549"/>
      <c r="S44" s="551"/>
      <c r="T44" s="549"/>
    </row>
    <row r="45" spans="1:20" s="571" customFormat="1" ht="15.75" customHeight="1">
      <c r="A45" s="568"/>
      <c r="B45" s="1346" t="s">
        <v>505</v>
      </c>
      <c r="C45" s="1345"/>
      <c r="D45" s="1344"/>
      <c r="E45" s="572"/>
      <c r="F45" s="573"/>
      <c r="G45" s="574"/>
      <c r="H45" s="575">
        <f>+H44</f>
        <v>75667263</v>
      </c>
      <c r="I45" s="576"/>
      <c r="J45" s="574"/>
      <c r="K45" s="575">
        <f>+K44</f>
        <v>75540844</v>
      </c>
      <c r="L45" s="545">
        <f>'[3]ACTA MOD. reformulacion'!K36</f>
        <v>0</v>
      </c>
      <c r="M45" s="546"/>
      <c r="N45" s="575">
        <f>+N44</f>
        <v>198300088</v>
      </c>
      <c r="O45" s="559"/>
      <c r="P45" s="549"/>
      <c r="Q45" s="549"/>
      <c r="S45" s="551"/>
      <c r="T45" s="549"/>
    </row>
    <row r="46" spans="1:20" s="550" customFormat="1" ht="20.25" customHeight="1">
      <c r="A46" s="577">
        <v>2</v>
      </c>
      <c r="B46" s="1347" t="s">
        <v>506</v>
      </c>
      <c r="C46" s="1348"/>
      <c r="D46" s="1349"/>
      <c r="E46" s="578"/>
      <c r="F46" s="579"/>
      <c r="G46" s="580"/>
      <c r="H46" s="581"/>
      <c r="I46" s="582"/>
      <c r="J46" s="580"/>
      <c r="K46" s="544"/>
      <c r="L46" s="545">
        <f>'[3]ACTA MOD. reformulacion'!K37</f>
        <v>0</v>
      </c>
      <c r="M46" s="546"/>
      <c r="N46" s="547"/>
      <c r="O46" s="559"/>
      <c r="P46" s="549"/>
      <c r="Q46" s="549"/>
      <c r="S46" s="551"/>
      <c r="T46" s="549"/>
    </row>
    <row r="47" spans="1:20" s="588" customFormat="1" ht="15" customHeight="1">
      <c r="A47" s="552">
        <v>2.1</v>
      </c>
      <c r="B47" s="1445" t="s">
        <v>507</v>
      </c>
      <c r="C47" s="1446"/>
      <c r="D47" s="1447"/>
      <c r="E47" s="583"/>
      <c r="F47" s="584"/>
      <c r="G47" s="585"/>
      <c r="H47" s="586"/>
      <c r="I47" s="587"/>
      <c r="J47" s="585"/>
      <c r="K47" s="586"/>
      <c r="L47" s="545">
        <f>'[3]ACTA MOD. reformulacion'!K38</f>
        <v>0</v>
      </c>
      <c r="M47" s="546"/>
      <c r="N47" s="547"/>
      <c r="O47" s="559"/>
      <c r="P47" s="549"/>
      <c r="Q47" s="549"/>
      <c r="S47" s="551"/>
      <c r="T47" s="549"/>
    </row>
    <row r="48" spans="1:20" s="550" customFormat="1" ht="26.25" customHeight="1">
      <c r="A48" s="552" t="s">
        <v>508</v>
      </c>
      <c r="B48" s="1350" t="s">
        <v>509</v>
      </c>
      <c r="C48" s="1351"/>
      <c r="D48" s="1352"/>
      <c r="E48" s="589" t="s">
        <v>165</v>
      </c>
      <c r="F48" s="554">
        <v>146.32</v>
      </c>
      <c r="G48" s="555">
        <v>675316</v>
      </c>
      <c r="H48" s="556">
        <v>98814549</v>
      </c>
      <c r="I48" s="557">
        <v>146.32</v>
      </c>
      <c r="J48" s="555">
        <v>675315</v>
      </c>
      <c r="K48" s="558">
        <f>+ROUND(I48*J48,0)</f>
        <v>98812091</v>
      </c>
      <c r="L48" s="545">
        <f>'[3]ACTA MOD. reformulacion'!K39</f>
        <v>123.57</v>
      </c>
      <c r="M48" s="546">
        <v>675315</v>
      </c>
      <c r="N48" s="547">
        <f t="shared" ref="N48:N53" si="3">ROUND(+L48*M48,0)</f>
        <v>83448675</v>
      </c>
      <c r="O48" s="559" t="s">
        <v>510</v>
      </c>
      <c r="P48" s="567">
        <f>146.32-123.57</f>
        <v>22.75</v>
      </c>
      <c r="Q48" s="549">
        <f>123.57*675315</f>
        <v>83448674.549999997</v>
      </c>
      <c r="S48" s="551"/>
      <c r="T48" s="549"/>
    </row>
    <row r="49" spans="1:20" s="550" customFormat="1" ht="29.25" customHeight="1">
      <c r="A49" s="552" t="s">
        <v>511</v>
      </c>
      <c r="B49" s="1350" t="s">
        <v>512</v>
      </c>
      <c r="C49" s="1351"/>
      <c r="D49" s="1352"/>
      <c r="E49" s="589" t="s">
        <v>165</v>
      </c>
      <c r="F49" s="554">
        <v>58.53</v>
      </c>
      <c r="G49" s="555">
        <v>581963</v>
      </c>
      <c r="H49" s="556">
        <v>34061928</v>
      </c>
      <c r="I49" s="557">
        <v>58.53</v>
      </c>
      <c r="J49" s="555">
        <v>581960</v>
      </c>
      <c r="K49" s="558">
        <f t="shared" ref="K49:K53" si="4">+ROUND(I49*J49,0)</f>
        <v>34062119</v>
      </c>
      <c r="L49" s="545">
        <f>'[3]ACTA MOD. reformulacion'!K40</f>
        <v>43.89</v>
      </c>
      <c r="M49" s="546">
        <v>581960</v>
      </c>
      <c r="N49" s="547">
        <f t="shared" si="3"/>
        <v>25542224</v>
      </c>
      <c r="O49" s="559" t="s">
        <v>513</v>
      </c>
      <c r="P49" s="567">
        <f>58.53-43.89</f>
        <v>14.64</v>
      </c>
      <c r="Q49" s="549">
        <f>43.89*581960</f>
        <v>25542224.399999999</v>
      </c>
      <c r="S49" s="551"/>
      <c r="T49" s="549"/>
    </row>
    <row r="50" spans="1:20" s="550" customFormat="1" ht="27" customHeight="1">
      <c r="A50" s="552" t="s">
        <v>514</v>
      </c>
      <c r="B50" s="1350" t="s">
        <v>515</v>
      </c>
      <c r="C50" s="1351"/>
      <c r="D50" s="1352"/>
      <c r="E50" s="590" t="s">
        <v>165</v>
      </c>
      <c r="F50" s="554">
        <v>5</v>
      </c>
      <c r="G50" s="555">
        <v>372787</v>
      </c>
      <c r="H50" s="556">
        <f>+ROUND(F50*G50,0)</f>
        <v>1863935</v>
      </c>
      <c r="I50" s="557">
        <v>5</v>
      </c>
      <c r="J50" s="555">
        <v>372785</v>
      </c>
      <c r="K50" s="558">
        <f t="shared" si="4"/>
        <v>1863925</v>
      </c>
      <c r="L50" s="565">
        <f>'[3]ACTA MOD. reformulacion'!K41</f>
        <v>20.97</v>
      </c>
      <c r="M50" s="546">
        <v>372785</v>
      </c>
      <c r="N50" s="547">
        <f t="shared" si="3"/>
        <v>7817301</v>
      </c>
      <c r="O50" s="559" t="s">
        <v>516</v>
      </c>
      <c r="P50" s="567">
        <f>20.97-5</f>
        <v>15.969999999999999</v>
      </c>
      <c r="Q50" s="549">
        <f>20.97*372785</f>
        <v>7817301.4499999993</v>
      </c>
      <c r="S50" s="551"/>
      <c r="T50" s="549"/>
    </row>
    <row r="51" spans="1:20" s="550" customFormat="1" ht="29.25" customHeight="1">
      <c r="A51" s="552" t="s">
        <v>517</v>
      </c>
      <c r="B51" s="1350" t="s">
        <v>518</v>
      </c>
      <c r="C51" s="1351"/>
      <c r="D51" s="1352"/>
      <c r="E51" s="591" t="s">
        <v>165</v>
      </c>
      <c r="F51" s="554">
        <v>33.799999999999997</v>
      </c>
      <c r="G51" s="555">
        <v>417889</v>
      </c>
      <c r="H51" s="556">
        <v>14124649</v>
      </c>
      <c r="I51" s="557">
        <v>33.799999999999997</v>
      </c>
      <c r="J51" s="555">
        <v>417885</v>
      </c>
      <c r="K51" s="558">
        <f t="shared" si="4"/>
        <v>14124513</v>
      </c>
      <c r="L51" s="545">
        <f>'[3]ACTA MOD. reformulacion'!K42</f>
        <v>7.639999999999997</v>
      </c>
      <c r="M51" s="546">
        <v>417885</v>
      </c>
      <c r="N51" s="547">
        <f t="shared" si="3"/>
        <v>3192641</v>
      </c>
      <c r="O51" s="559" t="s">
        <v>519</v>
      </c>
      <c r="P51" s="567">
        <f>33.8-7.64</f>
        <v>26.159999999999997</v>
      </c>
      <c r="Q51" s="549">
        <f>7.64*417885</f>
        <v>3192641.4</v>
      </c>
      <c r="S51" s="551"/>
      <c r="T51" s="549"/>
    </row>
    <row r="52" spans="1:20" s="550" customFormat="1" ht="36" customHeight="1">
      <c r="A52" s="552" t="s">
        <v>520</v>
      </c>
      <c r="B52" s="1350" t="s">
        <v>521</v>
      </c>
      <c r="C52" s="1351"/>
      <c r="D52" s="1352"/>
      <c r="E52" s="591" t="s">
        <v>522</v>
      </c>
      <c r="F52" s="554">
        <v>668.08</v>
      </c>
      <c r="G52" s="555">
        <v>4040</v>
      </c>
      <c r="H52" s="556">
        <v>2699044</v>
      </c>
      <c r="I52" s="557">
        <v>668.08</v>
      </c>
      <c r="J52" s="555">
        <v>4040</v>
      </c>
      <c r="K52" s="558">
        <f t="shared" si="4"/>
        <v>2699043</v>
      </c>
      <c r="L52" s="545">
        <f>'[3]ACTA MOD. reformulacion'!K43</f>
        <v>17574.23</v>
      </c>
      <c r="M52" s="546">
        <v>4040</v>
      </c>
      <c r="N52" s="547">
        <f t="shared" si="3"/>
        <v>70999889</v>
      </c>
      <c r="O52" s="559" t="s">
        <v>523</v>
      </c>
      <c r="P52" s="567">
        <f>17574.23-668.08</f>
        <v>16906.149999999998</v>
      </c>
      <c r="Q52" s="549">
        <f>17574.23*4040</f>
        <v>70999889.200000003</v>
      </c>
      <c r="S52" s="551"/>
      <c r="T52" s="549"/>
    </row>
    <row r="53" spans="1:20" s="550" customFormat="1" ht="32.25" customHeight="1">
      <c r="A53" s="552" t="s">
        <v>524</v>
      </c>
      <c r="B53" s="1350" t="s">
        <v>525</v>
      </c>
      <c r="C53" s="1351"/>
      <c r="D53" s="1352"/>
      <c r="E53" s="591" t="s">
        <v>162</v>
      </c>
      <c r="F53" s="554">
        <v>60</v>
      </c>
      <c r="G53" s="555">
        <v>40215</v>
      </c>
      <c r="H53" s="556">
        <f>+ROUND(F53*G53,0)</f>
        <v>2412900</v>
      </c>
      <c r="I53" s="557">
        <v>60</v>
      </c>
      <c r="J53" s="555">
        <v>40210</v>
      </c>
      <c r="K53" s="558">
        <f t="shared" si="4"/>
        <v>2412600</v>
      </c>
      <c r="L53" s="565">
        <f>'[3]ACTA MOD. reformulacion'!K44</f>
        <v>86.5</v>
      </c>
      <c r="M53" s="546">
        <v>40210</v>
      </c>
      <c r="N53" s="547">
        <f t="shared" si="3"/>
        <v>3478165</v>
      </c>
      <c r="O53" s="559" t="s">
        <v>526</v>
      </c>
      <c r="P53" s="567">
        <f>86.5-60</f>
        <v>26.5</v>
      </c>
      <c r="Q53" s="549">
        <f>86.5*40210</f>
        <v>3478165</v>
      </c>
      <c r="S53" s="551"/>
      <c r="T53" s="549"/>
    </row>
    <row r="54" spans="1:20" s="550" customFormat="1" ht="22.5" customHeight="1">
      <c r="A54" s="592"/>
      <c r="B54" s="1413"/>
      <c r="C54" s="1414"/>
      <c r="D54" s="1415"/>
      <c r="E54" s="593"/>
      <c r="F54" s="1419" t="s">
        <v>527</v>
      </c>
      <c r="G54" s="1415"/>
      <c r="H54" s="594">
        <f>+SUM(H48:H53)</f>
        <v>153977005</v>
      </c>
      <c r="I54" s="1414" t="s">
        <v>527</v>
      </c>
      <c r="J54" s="1415"/>
      <c r="K54" s="594">
        <f>+SUM(K48:K53)</f>
        <v>153974291</v>
      </c>
      <c r="L54" s="545">
        <f>'[3]ACTA MOD. reformulacion'!K45</f>
        <v>0</v>
      </c>
      <c r="M54" s="546">
        <v>0</v>
      </c>
      <c r="N54" s="594">
        <f>SUM(N48:N53)</f>
        <v>194478895</v>
      </c>
      <c r="O54" s="559"/>
      <c r="P54" s="549"/>
      <c r="Q54" s="549"/>
      <c r="S54" s="551"/>
      <c r="T54" s="549"/>
    </row>
    <row r="55" spans="1:20" s="550" customFormat="1" ht="17.25" customHeight="1">
      <c r="A55" s="595" t="s">
        <v>528</v>
      </c>
      <c r="B55" s="1423" t="s">
        <v>529</v>
      </c>
      <c r="C55" s="1424"/>
      <c r="D55" s="1425"/>
      <c r="E55" s="593"/>
      <c r="F55" s="596"/>
      <c r="G55" s="597"/>
      <c r="H55" s="594"/>
      <c r="I55" s="598"/>
      <c r="J55" s="597"/>
      <c r="K55" s="594"/>
      <c r="L55" s="545">
        <f>'[3]ACTA MOD. reformulacion'!K46</f>
        <v>0</v>
      </c>
      <c r="M55" s="546">
        <v>0</v>
      </c>
      <c r="N55" s="547"/>
      <c r="O55" s="559"/>
      <c r="P55" s="549"/>
      <c r="Q55" s="549"/>
      <c r="S55" s="551"/>
      <c r="T55" s="549"/>
    </row>
    <row r="56" spans="1:20" s="550" customFormat="1" ht="16.5" customHeight="1">
      <c r="A56" s="552" t="s">
        <v>530</v>
      </c>
      <c r="B56" s="1350" t="s">
        <v>531</v>
      </c>
      <c r="C56" s="1351"/>
      <c r="D56" s="1352"/>
      <c r="E56" s="553" t="s">
        <v>165</v>
      </c>
      <c r="F56" s="554">
        <v>2.74</v>
      </c>
      <c r="G56" s="555">
        <v>309234</v>
      </c>
      <c r="H56" s="556">
        <v>846065</v>
      </c>
      <c r="I56" s="557">
        <v>2.74</v>
      </c>
      <c r="J56" s="555">
        <v>309230</v>
      </c>
      <c r="K56" s="558">
        <f>+ROUND(I56*J56,0)</f>
        <v>847290</v>
      </c>
      <c r="L56" s="545">
        <f>'[3]ACTA MOD. reformulacion'!K47</f>
        <v>2.74</v>
      </c>
      <c r="M56" s="546">
        <v>309230</v>
      </c>
      <c r="N56" s="547">
        <f t="shared" ref="N56:N62" si="5">ROUND(+L56*M56,0)</f>
        <v>847290</v>
      </c>
      <c r="O56" s="559" t="s">
        <v>532</v>
      </c>
      <c r="P56" s="549"/>
      <c r="Q56" s="549">
        <f>2.74*309230</f>
        <v>847290.20000000007</v>
      </c>
      <c r="S56" s="551"/>
      <c r="T56" s="549"/>
    </row>
    <row r="57" spans="1:20" s="550" customFormat="1" ht="16.5" customHeight="1">
      <c r="A57" s="552" t="s">
        <v>533</v>
      </c>
      <c r="B57" s="1350" t="s">
        <v>534</v>
      </c>
      <c r="C57" s="1351"/>
      <c r="D57" s="1352"/>
      <c r="E57" s="553" t="s">
        <v>165</v>
      </c>
      <c r="F57" s="554">
        <v>1.51</v>
      </c>
      <c r="G57" s="555">
        <v>399952</v>
      </c>
      <c r="H57" s="556">
        <v>604728</v>
      </c>
      <c r="I57" s="557">
        <v>1.51</v>
      </c>
      <c r="J57" s="555">
        <v>399950</v>
      </c>
      <c r="K57" s="558">
        <f t="shared" ref="K57:K62" si="6">+ROUND(I57*J57,0)</f>
        <v>603925</v>
      </c>
      <c r="L57" s="545">
        <f>'[3]ACTA MOD. reformulacion'!K48</f>
        <v>1.51</v>
      </c>
      <c r="M57" s="546">
        <v>399950</v>
      </c>
      <c r="N57" s="547">
        <f t="shared" si="5"/>
        <v>603925</v>
      </c>
      <c r="O57" s="559" t="s">
        <v>532</v>
      </c>
      <c r="P57" s="549"/>
      <c r="Q57" s="549">
        <f>1.51*399950</f>
        <v>603924.5</v>
      </c>
      <c r="S57" s="551"/>
      <c r="T57" s="549"/>
    </row>
    <row r="58" spans="1:20" s="550" customFormat="1" ht="27" customHeight="1">
      <c r="A58" s="552" t="s">
        <v>535</v>
      </c>
      <c r="B58" s="1350" t="s">
        <v>536</v>
      </c>
      <c r="C58" s="1351"/>
      <c r="D58" s="1352"/>
      <c r="E58" s="553" t="s">
        <v>165</v>
      </c>
      <c r="F58" s="554">
        <v>2.74</v>
      </c>
      <c r="G58" s="555">
        <v>640613</v>
      </c>
      <c r="H58" s="556">
        <v>1752718</v>
      </c>
      <c r="I58" s="557">
        <v>2.74</v>
      </c>
      <c r="J58" s="555">
        <v>640610</v>
      </c>
      <c r="K58" s="558">
        <f t="shared" si="6"/>
        <v>1755271</v>
      </c>
      <c r="L58" s="599">
        <f>'[3]ACTA MOD. reformulacion'!K49</f>
        <v>3.1</v>
      </c>
      <c r="M58" s="546">
        <v>640610</v>
      </c>
      <c r="N58" s="547">
        <f t="shared" si="5"/>
        <v>1985891</v>
      </c>
      <c r="O58" s="559" t="s">
        <v>537</v>
      </c>
      <c r="P58" s="567">
        <f>3.1-2.74</f>
        <v>0.35999999999999988</v>
      </c>
      <c r="Q58" s="549">
        <f>3.1*640610</f>
        <v>1985891</v>
      </c>
      <c r="S58" s="551"/>
      <c r="T58" s="549"/>
    </row>
    <row r="59" spans="1:20" s="550" customFormat="1" ht="16.5" customHeight="1">
      <c r="A59" s="552" t="s">
        <v>538</v>
      </c>
      <c r="B59" s="1350" t="s">
        <v>539</v>
      </c>
      <c r="C59" s="1351"/>
      <c r="D59" s="1352"/>
      <c r="E59" s="553" t="s">
        <v>165</v>
      </c>
      <c r="F59" s="554">
        <v>4.0999999999999996</v>
      </c>
      <c r="G59" s="555">
        <v>1209688</v>
      </c>
      <c r="H59" s="556">
        <v>4964560</v>
      </c>
      <c r="I59" s="557">
        <v>4.0999999999999996</v>
      </c>
      <c r="J59" s="555">
        <v>1209680</v>
      </c>
      <c r="K59" s="558">
        <f t="shared" si="6"/>
        <v>4959688</v>
      </c>
      <c r="L59" s="599">
        <f>'[3]ACTA MOD. reformulacion'!K50</f>
        <v>4.2</v>
      </c>
      <c r="M59" s="546">
        <v>1209680</v>
      </c>
      <c r="N59" s="547">
        <f t="shared" si="5"/>
        <v>5080656</v>
      </c>
      <c r="O59" s="559" t="s">
        <v>540</v>
      </c>
      <c r="P59" s="549"/>
      <c r="Q59" s="549">
        <f>4.2*1209680</f>
        <v>5080656</v>
      </c>
      <c r="S59" s="551"/>
      <c r="T59" s="549"/>
    </row>
    <row r="60" spans="1:20" s="550" customFormat="1" ht="16.5" customHeight="1">
      <c r="A60" s="552" t="s">
        <v>541</v>
      </c>
      <c r="B60" s="1350" t="s">
        <v>542</v>
      </c>
      <c r="C60" s="1351"/>
      <c r="D60" s="1352"/>
      <c r="E60" s="553" t="s">
        <v>163</v>
      </c>
      <c r="F60" s="554">
        <v>30.96</v>
      </c>
      <c r="G60" s="555">
        <v>25403</v>
      </c>
      <c r="H60" s="556">
        <f>+ROUND(F60*G60,0)</f>
        <v>786477</v>
      </c>
      <c r="I60" s="557">
        <v>30.96</v>
      </c>
      <c r="J60" s="555">
        <v>25400</v>
      </c>
      <c r="K60" s="558">
        <f t="shared" si="6"/>
        <v>786384</v>
      </c>
      <c r="L60" s="545">
        <f>'[3]ACTA MOD. reformulacion'!K51</f>
        <v>30.96</v>
      </c>
      <c r="M60" s="546">
        <v>25400</v>
      </c>
      <c r="N60" s="547">
        <f t="shared" si="5"/>
        <v>786384</v>
      </c>
      <c r="O60" s="559" t="s">
        <v>532</v>
      </c>
      <c r="P60" s="549"/>
      <c r="Q60" s="549">
        <f>30.96*25400</f>
        <v>786384</v>
      </c>
      <c r="S60" s="551"/>
      <c r="T60" s="549"/>
    </row>
    <row r="61" spans="1:20" s="550" customFormat="1" ht="16.5" customHeight="1">
      <c r="A61" s="552" t="s">
        <v>543</v>
      </c>
      <c r="B61" s="1350" t="s">
        <v>544</v>
      </c>
      <c r="C61" s="1351"/>
      <c r="D61" s="1352"/>
      <c r="E61" s="553" t="s">
        <v>163</v>
      </c>
      <c r="F61" s="554">
        <v>41.28</v>
      </c>
      <c r="G61" s="555">
        <v>29385</v>
      </c>
      <c r="H61" s="556">
        <f>+ROUND(F61*G61,0)</f>
        <v>1213013</v>
      </c>
      <c r="I61" s="557">
        <v>41.28</v>
      </c>
      <c r="J61" s="555">
        <v>29385</v>
      </c>
      <c r="K61" s="558">
        <f t="shared" si="6"/>
        <v>1213013</v>
      </c>
      <c r="L61" s="545">
        <f>'[3]ACTA MOD. reformulacion'!K52</f>
        <v>41.28</v>
      </c>
      <c r="M61" s="546">
        <v>29385</v>
      </c>
      <c r="N61" s="547">
        <f t="shared" si="5"/>
        <v>1213013</v>
      </c>
      <c r="O61" s="559" t="s">
        <v>532</v>
      </c>
      <c r="P61" s="549"/>
      <c r="Q61" s="549">
        <f>41.28*29385</f>
        <v>1213012.8</v>
      </c>
      <c r="S61" s="551"/>
      <c r="T61" s="549"/>
    </row>
    <row r="62" spans="1:20" s="550" customFormat="1" ht="16.5" customHeight="1">
      <c r="A62" s="552" t="s">
        <v>545</v>
      </c>
      <c r="B62" s="1350" t="s">
        <v>546</v>
      </c>
      <c r="C62" s="1351"/>
      <c r="D62" s="1352"/>
      <c r="E62" s="553" t="s">
        <v>163</v>
      </c>
      <c r="F62" s="554">
        <v>13</v>
      </c>
      <c r="G62" s="555">
        <v>1113578</v>
      </c>
      <c r="H62" s="556">
        <f>+ROUND(F62*G62,0)</f>
        <v>14476514</v>
      </c>
      <c r="I62" s="557">
        <v>13</v>
      </c>
      <c r="J62" s="555">
        <v>1113575</v>
      </c>
      <c r="K62" s="558">
        <f t="shared" si="6"/>
        <v>14476475</v>
      </c>
      <c r="L62" s="599">
        <f>'[3]ACTA MOD. reformulacion'!K53</f>
        <v>12.16</v>
      </c>
      <c r="M62" s="546">
        <v>1113575</v>
      </c>
      <c r="N62" s="547">
        <f t="shared" si="5"/>
        <v>13541072</v>
      </c>
      <c r="O62" s="559" t="s">
        <v>547</v>
      </c>
      <c r="P62" s="567">
        <f>13-12.16</f>
        <v>0.83999999999999986</v>
      </c>
      <c r="Q62" s="549">
        <f>12.16*1113575</f>
        <v>13541072</v>
      </c>
      <c r="S62" s="551"/>
      <c r="T62" s="549"/>
    </row>
    <row r="63" spans="1:20" s="550" customFormat="1" ht="18" customHeight="1">
      <c r="A63" s="592"/>
      <c r="B63" s="1442"/>
      <c r="C63" s="1443"/>
      <c r="D63" s="1444"/>
      <c r="E63" s="593"/>
      <c r="F63" s="1419" t="s">
        <v>548</v>
      </c>
      <c r="G63" s="1415"/>
      <c r="H63" s="594">
        <f>+SUM(H56:H62)</f>
        <v>24644075</v>
      </c>
      <c r="I63" s="1414" t="s">
        <v>548</v>
      </c>
      <c r="J63" s="1415"/>
      <c r="K63" s="594">
        <f>SUM(K56:K62)</f>
        <v>24642046</v>
      </c>
      <c r="L63" s="545">
        <f>'[3]ACTA MOD. reformulacion'!K54</f>
        <v>0</v>
      </c>
      <c r="M63" s="546">
        <v>0</v>
      </c>
      <c r="N63" s="594">
        <f>SUM(N56:N62)</f>
        <v>24058231</v>
      </c>
      <c r="O63" s="559"/>
      <c r="P63" s="549"/>
      <c r="Q63" s="549"/>
      <c r="S63" s="551"/>
      <c r="T63" s="549"/>
    </row>
    <row r="64" spans="1:20" s="550" customFormat="1" ht="17.25" customHeight="1">
      <c r="A64" s="595">
        <v>2.2999999999999998</v>
      </c>
      <c r="B64" s="1423" t="s">
        <v>549</v>
      </c>
      <c r="C64" s="1424"/>
      <c r="D64" s="1425"/>
      <c r="E64" s="593"/>
      <c r="F64" s="596"/>
      <c r="G64" s="597"/>
      <c r="H64" s="594"/>
      <c r="I64" s="598"/>
      <c r="J64" s="597"/>
      <c r="K64" s="594"/>
      <c r="L64" s="545">
        <f>'[3]ACTA MOD. reformulacion'!K55</f>
        <v>0</v>
      </c>
      <c r="M64" s="546">
        <v>0</v>
      </c>
      <c r="N64" s="547"/>
      <c r="O64" s="559"/>
      <c r="P64" s="549"/>
      <c r="Q64" s="549"/>
      <c r="S64" s="551"/>
      <c r="T64" s="549"/>
    </row>
    <row r="65" spans="1:20" s="550" customFormat="1" ht="16.5" customHeight="1">
      <c r="A65" s="552" t="s">
        <v>550</v>
      </c>
      <c r="B65" s="1350" t="s">
        <v>551</v>
      </c>
      <c r="C65" s="1351"/>
      <c r="D65" s="1352"/>
      <c r="E65" s="553" t="s">
        <v>162</v>
      </c>
      <c r="F65" s="554">
        <v>8</v>
      </c>
      <c r="G65" s="555">
        <v>19632</v>
      </c>
      <c r="H65" s="556">
        <f t="shared" ref="H65:H72" si="7">+ROUND(F65*G65,0)</f>
        <v>157056</v>
      </c>
      <c r="I65" s="557">
        <v>8</v>
      </c>
      <c r="J65" s="555">
        <v>19630</v>
      </c>
      <c r="K65" s="558">
        <f>+ROUND(I65*J65,0)</f>
        <v>157040</v>
      </c>
      <c r="L65" s="545">
        <f>'[3]ACTA MOD. reformulacion'!K56</f>
        <v>58.92</v>
      </c>
      <c r="M65" s="546">
        <v>19630</v>
      </c>
      <c r="N65" s="547">
        <f t="shared" ref="N65:N72" si="8">ROUND(+L65*M65,0)</f>
        <v>1156600</v>
      </c>
      <c r="O65" s="559" t="s">
        <v>552</v>
      </c>
      <c r="P65" s="549"/>
      <c r="Q65" s="549">
        <f>58.92*19630</f>
        <v>1156599.6000000001</v>
      </c>
      <c r="S65" s="551"/>
      <c r="T65" s="549"/>
    </row>
    <row r="66" spans="1:20" s="550" customFormat="1" ht="16.5" customHeight="1">
      <c r="A66" s="552" t="s">
        <v>553</v>
      </c>
      <c r="B66" s="1350" t="s">
        <v>554</v>
      </c>
      <c r="C66" s="1351"/>
      <c r="D66" s="1352"/>
      <c r="E66" s="553" t="s">
        <v>162</v>
      </c>
      <c r="F66" s="554">
        <v>3.6</v>
      </c>
      <c r="G66" s="555">
        <v>17176</v>
      </c>
      <c r="H66" s="556">
        <f t="shared" si="7"/>
        <v>61834</v>
      </c>
      <c r="I66" s="557">
        <v>3.6</v>
      </c>
      <c r="J66" s="555">
        <v>17175</v>
      </c>
      <c r="K66" s="558">
        <f t="shared" ref="K66:K72" si="9">+ROUND(I66*J66,0)</f>
        <v>61830</v>
      </c>
      <c r="L66" s="545">
        <f>'[3]ACTA MOD. reformulacion'!K57</f>
        <v>0</v>
      </c>
      <c r="M66" s="546">
        <v>17175</v>
      </c>
      <c r="N66" s="547">
        <f t="shared" si="8"/>
        <v>0</v>
      </c>
      <c r="O66" s="559" t="s">
        <v>555</v>
      </c>
      <c r="P66" s="549"/>
      <c r="Q66" s="549">
        <f>0*0</f>
        <v>0</v>
      </c>
      <c r="S66" s="551"/>
      <c r="T66" s="549"/>
    </row>
    <row r="67" spans="1:20" s="550" customFormat="1" ht="16.5" customHeight="1">
      <c r="A67" s="552" t="s">
        <v>556</v>
      </c>
      <c r="B67" s="1350" t="s">
        <v>557</v>
      </c>
      <c r="C67" s="1351"/>
      <c r="D67" s="1352"/>
      <c r="E67" s="553" t="s">
        <v>558</v>
      </c>
      <c r="F67" s="554">
        <v>3</v>
      </c>
      <c r="G67" s="555">
        <v>14917</v>
      </c>
      <c r="H67" s="556">
        <f t="shared" si="7"/>
        <v>44751</v>
      </c>
      <c r="I67" s="557">
        <v>3</v>
      </c>
      <c r="J67" s="555">
        <v>14915</v>
      </c>
      <c r="K67" s="558">
        <f t="shared" si="9"/>
        <v>44745</v>
      </c>
      <c r="L67" s="545">
        <f>'[3]ACTA MOD. reformulacion'!K58</f>
        <v>3</v>
      </c>
      <c r="M67" s="546">
        <v>14915</v>
      </c>
      <c r="N67" s="547">
        <f t="shared" si="8"/>
        <v>44745</v>
      </c>
      <c r="O67" s="559" t="s">
        <v>559</v>
      </c>
      <c r="P67" s="549"/>
      <c r="Q67" s="549">
        <f>3*14915</f>
        <v>44745</v>
      </c>
      <c r="S67" s="551"/>
      <c r="T67" s="549"/>
    </row>
    <row r="68" spans="1:20" s="550" customFormat="1" ht="16.5" customHeight="1">
      <c r="A68" s="552" t="s">
        <v>560</v>
      </c>
      <c r="B68" s="1350" t="s">
        <v>561</v>
      </c>
      <c r="C68" s="1351"/>
      <c r="D68" s="1352"/>
      <c r="E68" s="553" t="s">
        <v>558</v>
      </c>
      <c r="F68" s="554">
        <v>4</v>
      </c>
      <c r="G68" s="555">
        <v>36377</v>
      </c>
      <c r="H68" s="556">
        <f t="shared" si="7"/>
        <v>145508</v>
      </c>
      <c r="I68" s="557">
        <v>4</v>
      </c>
      <c r="J68" s="555">
        <v>36375</v>
      </c>
      <c r="K68" s="558">
        <f t="shared" si="9"/>
        <v>145500</v>
      </c>
      <c r="L68" s="545">
        <f>'[3]ACTA MOD. reformulacion'!K59</f>
        <v>0</v>
      </c>
      <c r="M68" s="546">
        <v>36375</v>
      </c>
      <c r="N68" s="547">
        <f t="shared" si="8"/>
        <v>0</v>
      </c>
      <c r="O68" s="559" t="s">
        <v>562</v>
      </c>
      <c r="P68" s="549"/>
      <c r="Q68" s="549">
        <f>0*0</f>
        <v>0</v>
      </c>
      <c r="S68" s="551"/>
      <c r="T68" s="549"/>
    </row>
    <row r="69" spans="1:20" s="550" customFormat="1" ht="24.75" customHeight="1">
      <c r="A69" s="600" t="s">
        <v>563</v>
      </c>
      <c r="B69" s="1350" t="s">
        <v>564</v>
      </c>
      <c r="C69" s="1351"/>
      <c r="D69" s="1352"/>
      <c r="E69" s="553" t="s">
        <v>162</v>
      </c>
      <c r="F69" s="554">
        <v>4</v>
      </c>
      <c r="G69" s="555">
        <v>23817</v>
      </c>
      <c r="H69" s="556">
        <f t="shared" si="7"/>
        <v>95268</v>
      </c>
      <c r="I69" s="557">
        <v>4</v>
      </c>
      <c r="J69" s="555">
        <v>23815</v>
      </c>
      <c r="K69" s="558">
        <f t="shared" si="9"/>
        <v>95260</v>
      </c>
      <c r="L69" s="565">
        <f>'[3]ACTA MOD. reformulacion'!K60</f>
        <v>69.8</v>
      </c>
      <c r="M69" s="546">
        <v>23815</v>
      </c>
      <c r="N69" s="547">
        <f t="shared" si="8"/>
        <v>1662287</v>
      </c>
      <c r="O69" s="559" t="s">
        <v>565</v>
      </c>
      <c r="P69" s="567">
        <f>69.8-4</f>
        <v>65.8</v>
      </c>
      <c r="Q69" s="549">
        <f>69.8*23815</f>
        <v>1662287</v>
      </c>
      <c r="S69" s="551"/>
      <c r="T69" s="549"/>
    </row>
    <row r="70" spans="1:20" s="550" customFormat="1" ht="36.75" customHeight="1">
      <c r="A70" s="552" t="s">
        <v>566</v>
      </c>
      <c r="B70" s="1350" t="s">
        <v>567</v>
      </c>
      <c r="C70" s="1351"/>
      <c r="D70" s="1352"/>
      <c r="E70" s="553" t="s">
        <v>162</v>
      </c>
      <c r="F70" s="554">
        <v>7.5</v>
      </c>
      <c r="G70" s="555">
        <v>15803</v>
      </c>
      <c r="H70" s="556">
        <f t="shared" si="7"/>
        <v>118523</v>
      </c>
      <c r="I70" s="557">
        <v>7.5</v>
      </c>
      <c r="J70" s="555">
        <v>15800</v>
      </c>
      <c r="K70" s="558">
        <f t="shared" si="9"/>
        <v>118500</v>
      </c>
      <c r="L70" s="565">
        <f>'[3]ACTA MOD. reformulacion'!K61</f>
        <v>49.6</v>
      </c>
      <c r="M70" s="546">
        <v>15800</v>
      </c>
      <c r="N70" s="547">
        <f t="shared" si="8"/>
        <v>783680</v>
      </c>
      <c r="O70" s="559" t="s">
        <v>568</v>
      </c>
      <c r="P70" s="567">
        <f>49.6-7.5</f>
        <v>42.1</v>
      </c>
      <c r="Q70" s="549">
        <f>49.6*15800</f>
        <v>783680</v>
      </c>
      <c r="R70" s="567">
        <f>25+17.1</f>
        <v>42.1</v>
      </c>
      <c r="S70" s="551"/>
      <c r="T70" s="549"/>
    </row>
    <row r="71" spans="1:20" s="550" customFormat="1" ht="24" customHeight="1">
      <c r="A71" s="552" t="s">
        <v>569</v>
      </c>
      <c r="B71" s="1350" t="s">
        <v>570</v>
      </c>
      <c r="C71" s="1351"/>
      <c r="D71" s="1352"/>
      <c r="E71" s="553" t="s">
        <v>571</v>
      </c>
      <c r="F71" s="554">
        <v>4</v>
      </c>
      <c r="G71" s="555">
        <v>13556</v>
      </c>
      <c r="H71" s="556">
        <f t="shared" si="7"/>
        <v>54224</v>
      </c>
      <c r="I71" s="557">
        <v>4</v>
      </c>
      <c r="J71" s="555">
        <v>13555</v>
      </c>
      <c r="K71" s="558">
        <f t="shared" si="9"/>
        <v>54220</v>
      </c>
      <c r="L71" s="565">
        <f>'[3]ACTA MOD. reformulacion'!K62</f>
        <v>9</v>
      </c>
      <c r="M71" s="546">
        <v>13555</v>
      </c>
      <c r="N71" s="547">
        <f t="shared" si="8"/>
        <v>121995</v>
      </c>
      <c r="O71" s="559" t="s">
        <v>572</v>
      </c>
      <c r="P71" s="549"/>
      <c r="Q71" s="549">
        <f>9*13555</f>
        <v>121995</v>
      </c>
      <c r="S71" s="551"/>
      <c r="T71" s="549"/>
    </row>
    <row r="72" spans="1:20" s="550" customFormat="1" ht="24" customHeight="1">
      <c r="A72" s="552" t="s">
        <v>573</v>
      </c>
      <c r="B72" s="1350" t="s">
        <v>574</v>
      </c>
      <c r="C72" s="1351"/>
      <c r="D72" s="1352"/>
      <c r="E72" s="553" t="s">
        <v>571</v>
      </c>
      <c r="F72" s="554">
        <v>1</v>
      </c>
      <c r="G72" s="555">
        <v>14335</v>
      </c>
      <c r="H72" s="556">
        <f t="shared" si="7"/>
        <v>14335</v>
      </c>
      <c r="I72" s="557">
        <v>1</v>
      </c>
      <c r="J72" s="555">
        <v>14335</v>
      </c>
      <c r="K72" s="558">
        <f t="shared" si="9"/>
        <v>14335</v>
      </c>
      <c r="L72" s="565">
        <f>'[3]ACTA MOD. reformulacion'!K63</f>
        <v>6</v>
      </c>
      <c r="M72" s="546">
        <v>14335</v>
      </c>
      <c r="N72" s="547">
        <f t="shared" si="8"/>
        <v>86010</v>
      </c>
      <c r="O72" s="601" t="s">
        <v>575</v>
      </c>
      <c r="P72" s="549"/>
      <c r="Q72" s="549">
        <f>6*14335</f>
        <v>86010</v>
      </c>
      <c r="S72" s="551"/>
      <c r="T72" s="549"/>
    </row>
    <row r="73" spans="1:20" s="550" customFormat="1" ht="15" customHeight="1">
      <c r="A73" s="602"/>
      <c r="B73" s="603"/>
      <c r="C73" s="603"/>
      <c r="D73" s="604"/>
      <c r="E73" s="593"/>
      <c r="F73" s="1419" t="s">
        <v>576</v>
      </c>
      <c r="G73" s="1415"/>
      <c r="H73" s="594">
        <f>+SUM(H65:H72)</f>
        <v>691499</v>
      </c>
      <c r="I73" s="1414" t="s">
        <v>576</v>
      </c>
      <c r="J73" s="1415"/>
      <c r="K73" s="594">
        <f>+SUM(K65:K72)</f>
        <v>691430</v>
      </c>
      <c r="L73" s="545">
        <f>'[3]ACTA MOD. reformulacion'!K64</f>
        <v>0</v>
      </c>
      <c r="M73" s="546">
        <v>0</v>
      </c>
      <c r="N73" s="594">
        <f>SUM(N65:N72)</f>
        <v>3855317</v>
      </c>
      <c r="O73" s="559"/>
      <c r="P73" s="549"/>
      <c r="Q73" s="549"/>
      <c r="S73" s="551"/>
      <c r="T73" s="549"/>
    </row>
    <row r="74" spans="1:20" s="550" customFormat="1" ht="17.25" customHeight="1">
      <c r="A74" s="595" t="s">
        <v>577</v>
      </c>
      <c r="B74" s="1423" t="s">
        <v>578</v>
      </c>
      <c r="C74" s="1424"/>
      <c r="D74" s="1425"/>
      <c r="E74" s="593"/>
      <c r="F74" s="596"/>
      <c r="G74" s="597"/>
      <c r="H74" s="594"/>
      <c r="I74" s="598"/>
      <c r="J74" s="597"/>
      <c r="K74" s="594"/>
      <c r="L74" s="545">
        <f>'[3]ACTA MOD. reformulacion'!K65</f>
        <v>0</v>
      </c>
      <c r="M74" s="546">
        <v>0</v>
      </c>
      <c r="N74" s="547"/>
      <c r="O74" s="559"/>
      <c r="P74" s="549"/>
      <c r="Q74" s="549"/>
      <c r="S74" s="551"/>
      <c r="T74" s="549"/>
    </row>
    <row r="75" spans="1:20" s="550" customFormat="1" ht="27" customHeight="1">
      <c r="A75" s="552" t="s">
        <v>579</v>
      </c>
      <c r="B75" s="1350" t="s">
        <v>580</v>
      </c>
      <c r="C75" s="1351"/>
      <c r="D75" s="1352"/>
      <c r="E75" s="553" t="s">
        <v>558</v>
      </c>
      <c r="F75" s="554">
        <v>8</v>
      </c>
      <c r="G75" s="555">
        <v>701256</v>
      </c>
      <c r="H75" s="556">
        <f>+ROUND(F75*G75,0)</f>
        <v>5610048</v>
      </c>
      <c r="I75" s="557">
        <v>8</v>
      </c>
      <c r="J75" s="555">
        <v>701255</v>
      </c>
      <c r="K75" s="558">
        <f>+ROUND(I75*J75,0)</f>
        <v>5610040</v>
      </c>
      <c r="L75" s="545">
        <f>'[3]ACTA MOD. reformulacion'!K66</f>
        <v>20</v>
      </c>
      <c r="M75" s="546">
        <v>701255</v>
      </c>
      <c r="N75" s="547">
        <f>ROUND(+L75*M75,0)</f>
        <v>14025100</v>
      </c>
      <c r="O75" s="559" t="s">
        <v>581</v>
      </c>
      <c r="P75" s="549"/>
      <c r="Q75" s="549"/>
      <c r="S75" s="551"/>
      <c r="T75" s="549"/>
    </row>
    <row r="76" spans="1:20" s="550" customFormat="1" ht="16.5" customHeight="1">
      <c r="A76" s="552" t="s">
        <v>582</v>
      </c>
      <c r="B76" s="1350" t="s">
        <v>583</v>
      </c>
      <c r="C76" s="1351"/>
      <c r="D76" s="1352"/>
      <c r="E76" s="553" t="s">
        <v>558</v>
      </c>
      <c r="F76" s="554">
        <v>1</v>
      </c>
      <c r="G76" s="555">
        <v>530343</v>
      </c>
      <c r="H76" s="556">
        <f>+ROUND(F76*G76,0)</f>
        <v>530343</v>
      </c>
      <c r="I76" s="557">
        <v>1</v>
      </c>
      <c r="J76" s="555">
        <v>530340</v>
      </c>
      <c r="K76" s="558">
        <f>+ROUND(I76*J76,0)</f>
        <v>530340</v>
      </c>
      <c r="L76" s="545">
        <f>'[3]ACTA MOD. reformulacion'!K67</f>
        <v>1</v>
      </c>
      <c r="M76" s="546">
        <v>530340</v>
      </c>
      <c r="N76" s="547">
        <f>ROUND(+L76*M76,0)</f>
        <v>530340</v>
      </c>
      <c r="O76" s="559" t="s">
        <v>584</v>
      </c>
      <c r="P76" s="549"/>
      <c r="Q76" s="549"/>
      <c r="S76" s="551"/>
      <c r="T76" s="549"/>
    </row>
    <row r="77" spans="1:20" s="550" customFormat="1" ht="16.5" customHeight="1">
      <c r="A77" s="552" t="s">
        <v>585</v>
      </c>
      <c r="B77" s="1350" t="s">
        <v>586</v>
      </c>
      <c r="C77" s="1351"/>
      <c r="D77" s="1352"/>
      <c r="E77" s="553" t="s">
        <v>558</v>
      </c>
      <c r="F77" s="554">
        <v>10</v>
      </c>
      <c r="G77" s="555">
        <v>386287</v>
      </c>
      <c r="H77" s="556">
        <f>+ROUND(F77*G77,0)</f>
        <v>3862870</v>
      </c>
      <c r="I77" s="557">
        <v>10</v>
      </c>
      <c r="J77" s="555">
        <v>386285</v>
      </c>
      <c r="K77" s="558">
        <f>+ROUND(I77*J77,0)</f>
        <v>3862850</v>
      </c>
      <c r="L77" s="545">
        <f>'[3]ACTA MOD. reformulacion'!K68</f>
        <v>19</v>
      </c>
      <c r="M77" s="546">
        <v>386285</v>
      </c>
      <c r="N77" s="547">
        <f>ROUND(+L77*M77,0)</f>
        <v>7339415</v>
      </c>
      <c r="O77" s="559" t="s">
        <v>587</v>
      </c>
      <c r="P77" s="549"/>
      <c r="Q77" s="549"/>
      <c r="S77" s="551"/>
      <c r="T77" s="549"/>
    </row>
    <row r="78" spans="1:20" s="550" customFormat="1" ht="33" customHeight="1">
      <c r="A78" s="552" t="s">
        <v>588</v>
      </c>
      <c r="B78" s="1350" t="s">
        <v>589</v>
      </c>
      <c r="C78" s="1351"/>
      <c r="D78" s="1352"/>
      <c r="E78" s="553" t="s">
        <v>558</v>
      </c>
      <c r="F78" s="554">
        <v>1</v>
      </c>
      <c r="G78" s="555">
        <v>1280989</v>
      </c>
      <c r="H78" s="556">
        <f>+ROUND(F78*G78,0)</f>
        <v>1280989</v>
      </c>
      <c r="I78" s="557">
        <v>1</v>
      </c>
      <c r="J78" s="555">
        <v>1280980</v>
      </c>
      <c r="K78" s="558">
        <f>+ROUND(I78*J78,0)</f>
        <v>1280980</v>
      </c>
      <c r="L78" s="545">
        <f>'[3]ACTA MOD. reformulacion'!K69</f>
        <v>0</v>
      </c>
      <c r="M78" s="546">
        <v>1280980</v>
      </c>
      <c r="N78" s="547">
        <f>ROUND(+L78*M78,0)</f>
        <v>0</v>
      </c>
      <c r="O78" s="559" t="s">
        <v>590</v>
      </c>
      <c r="P78" s="549"/>
      <c r="Q78" s="549"/>
      <c r="S78" s="551"/>
      <c r="T78" s="549"/>
    </row>
    <row r="79" spans="1:20" s="550" customFormat="1" ht="19.5" customHeight="1">
      <c r="A79" s="605"/>
      <c r="B79" s="1438"/>
      <c r="C79" s="1439"/>
      <c r="D79" s="1440"/>
      <c r="E79" s="593"/>
      <c r="F79" s="1419" t="s">
        <v>591</v>
      </c>
      <c r="G79" s="1415"/>
      <c r="H79" s="594">
        <f>+SUM(H75:H78)</f>
        <v>11284250</v>
      </c>
      <c r="I79" s="1414" t="s">
        <v>591</v>
      </c>
      <c r="J79" s="1415"/>
      <c r="K79" s="594">
        <f>+SUM(K75:K78)</f>
        <v>11284210</v>
      </c>
      <c r="L79" s="545">
        <f>'[3]ACTA MOD. reformulacion'!K70</f>
        <v>0</v>
      </c>
      <c r="M79" s="546">
        <v>0</v>
      </c>
      <c r="N79" s="594">
        <f>SUM(N75:N78)</f>
        <v>21894855</v>
      </c>
      <c r="O79" s="559"/>
      <c r="P79" s="549"/>
      <c r="Q79" s="549"/>
      <c r="S79" s="551"/>
      <c r="T79" s="549"/>
    </row>
    <row r="80" spans="1:20" s="550" customFormat="1" ht="17.25" customHeight="1">
      <c r="A80" s="595" t="s">
        <v>592</v>
      </c>
      <c r="B80" s="1423" t="s">
        <v>593</v>
      </c>
      <c r="C80" s="1424"/>
      <c r="D80" s="1425"/>
      <c r="E80" s="593"/>
      <c r="F80" s="596"/>
      <c r="G80" s="597"/>
      <c r="H80" s="594"/>
      <c r="I80" s="598"/>
      <c r="J80" s="597"/>
      <c r="K80" s="594"/>
      <c r="L80" s="545">
        <f>'[3]ACTA MOD. reformulacion'!K71</f>
        <v>0</v>
      </c>
      <c r="M80" s="546">
        <v>0</v>
      </c>
      <c r="N80" s="547"/>
      <c r="O80" s="559"/>
      <c r="P80" s="549"/>
      <c r="Q80" s="549"/>
      <c r="S80" s="551"/>
      <c r="T80" s="549"/>
    </row>
    <row r="81" spans="1:20" s="550" customFormat="1" ht="16.5" customHeight="1">
      <c r="A81" s="552" t="s">
        <v>594</v>
      </c>
      <c r="B81" s="1350" t="s">
        <v>595</v>
      </c>
      <c r="C81" s="1351"/>
      <c r="D81" s="1352"/>
      <c r="E81" s="553" t="s">
        <v>558</v>
      </c>
      <c r="F81" s="554">
        <v>4</v>
      </c>
      <c r="G81" s="555">
        <v>342466</v>
      </c>
      <c r="H81" s="556">
        <f t="shared" ref="H81:H94" si="10">+ROUND(F81*G81,0)</f>
        <v>1369864</v>
      </c>
      <c r="I81" s="557">
        <v>4</v>
      </c>
      <c r="J81" s="555">
        <v>342465</v>
      </c>
      <c r="K81" s="558">
        <f>+ROUND(I81*J81,0)</f>
        <v>1369860</v>
      </c>
      <c r="L81" s="545">
        <f>'[3]ACTA MOD. reformulacion'!K72</f>
        <v>0</v>
      </c>
      <c r="M81" s="546">
        <v>342465</v>
      </c>
      <c r="N81" s="547">
        <f t="shared" ref="N81:N94" si="11">ROUND(+L81*M81,0)</f>
        <v>0</v>
      </c>
      <c r="O81" s="559" t="s">
        <v>596</v>
      </c>
      <c r="P81" s="549"/>
      <c r="Q81" s="549"/>
      <c r="S81" s="551"/>
      <c r="T81" s="549"/>
    </row>
    <row r="82" spans="1:20" s="550" customFormat="1" ht="16.5" customHeight="1">
      <c r="A82" s="552" t="s">
        <v>597</v>
      </c>
      <c r="B82" s="1350" t="s">
        <v>598</v>
      </c>
      <c r="C82" s="1351"/>
      <c r="D82" s="1352"/>
      <c r="E82" s="553" t="s">
        <v>558</v>
      </c>
      <c r="F82" s="554">
        <v>4</v>
      </c>
      <c r="G82" s="555">
        <v>3425075</v>
      </c>
      <c r="H82" s="556">
        <f t="shared" si="10"/>
        <v>13700300</v>
      </c>
      <c r="I82" s="557">
        <v>4</v>
      </c>
      <c r="J82" s="555">
        <v>3425075</v>
      </c>
      <c r="K82" s="558">
        <f t="shared" ref="K82:K94" si="12">+ROUND(I82*J82,0)</f>
        <v>13700300</v>
      </c>
      <c r="L82" s="545">
        <f>'[3]ACTA MOD. reformulacion'!K73</f>
        <v>0</v>
      </c>
      <c r="M82" s="546">
        <v>3425075</v>
      </c>
      <c r="N82" s="547">
        <f t="shared" si="11"/>
        <v>0</v>
      </c>
      <c r="O82" s="559" t="s">
        <v>596</v>
      </c>
      <c r="P82" s="549"/>
      <c r="Q82" s="549"/>
      <c r="S82" s="551"/>
      <c r="T82" s="549"/>
    </row>
    <row r="83" spans="1:20" s="550" customFormat="1" ht="16.5" customHeight="1">
      <c r="A83" s="552" t="s">
        <v>599</v>
      </c>
      <c r="B83" s="1350" t="s">
        <v>600</v>
      </c>
      <c r="C83" s="1351"/>
      <c r="D83" s="1352"/>
      <c r="E83" s="553" t="s">
        <v>558</v>
      </c>
      <c r="F83" s="554">
        <v>2</v>
      </c>
      <c r="G83" s="555">
        <v>3757601</v>
      </c>
      <c r="H83" s="556">
        <f t="shared" si="10"/>
        <v>7515202</v>
      </c>
      <c r="I83" s="557">
        <v>2</v>
      </c>
      <c r="J83" s="555">
        <v>3757600</v>
      </c>
      <c r="K83" s="558">
        <f t="shared" si="12"/>
        <v>7515200</v>
      </c>
      <c r="L83" s="545">
        <f>'[3]ACTA MOD. reformulacion'!K74</f>
        <v>2</v>
      </c>
      <c r="M83" s="546">
        <v>3757600</v>
      </c>
      <c r="N83" s="547">
        <f t="shared" si="11"/>
        <v>7515200</v>
      </c>
      <c r="O83" s="559" t="s">
        <v>601</v>
      </c>
      <c r="P83" s="549"/>
      <c r="Q83" s="549"/>
      <c r="S83" s="551"/>
      <c r="T83" s="549"/>
    </row>
    <row r="84" spans="1:20" s="550" customFormat="1" ht="16.5" customHeight="1">
      <c r="A84" s="552" t="s">
        <v>602</v>
      </c>
      <c r="B84" s="1350" t="s">
        <v>603</v>
      </c>
      <c r="C84" s="1351"/>
      <c r="D84" s="1352"/>
      <c r="E84" s="553" t="s">
        <v>558</v>
      </c>
      <c r="F84" s="554">
        <v>1</v>
      </c>
      <c r="G84" s="555">
        <v>3013400</v>
      </c>
      <c r="H84" s="556">
        <f t="shared" si="10"/>
        <v>3013400</v>
      </c>
      <c r="I84" s="557">
        <v>1</v>
      </c>
      <c r="J84" s="555">
        <v>3013400</v>
      </c>
      <c r="K84" s="558">
        <f t="shared" si="12"/>
        <v>3013400</v>
      </c>
      <c r="L84" s="545">
        <f>'[3]ACTA MOD. reformulacion'!K75</f>
        <v>0</v>
      </c>
      <c r="M84" s="546">
        <v>3013400</v>
      </c>
      <c r="N84" s="547">
        <f t="shared" si="11"/>
        <v>0</v>
      </c>
      <c r="O84" s="559" t="s">
        <v>596</v>
      </c>
      <c r="P84" s="549"/>
      <c r="Q84" s="549"/>
      <c r="S84" s="551"/>
      <c r="T84" s="549"/>
    </row>
    <row r="85" spans="1:20" s="550" customFormat="1" ht="16.5" customHeight="1">
      <c r="A85" s="552" t="s">
        <v>604</v>
      </c>
      <c r="B85" s="1350" t="s">
        <v>605</v>
      </c>
      <c r="C85" s="1351"/>
      <c r="D85" s="1352"/>
      <c r="E85" s="553" t="s">
        <v>558</v>
      </c>
      <c r="F85" s="554">
        <v>2</v>
      </c>
      <c r="G85" s="555">
        <v>2883750</v>
      </c>
      <c r="H85" s="556">
        <f t="shared" si="10"/>
        <v>5767500</v>
      </c>
      <c r="I85" s="557">
        <v>2</v>
      </c>
      <c r="J85" s="555">
        <v>2883750</v>
      </c>
      <c r="K85" s="558">
        <f t="shared" si="12"/>
        <v>5767500</v>
      </c>
      <c r="L85" s="545">
        <f>'[3]ACTA MOD. reformulacion'!K76</f>
        <v>0</v>
      </c>
      <c r="M85" s="546">
        <v>2883750</v>
      </c>
      <c r="N85" s="547">
        <f t="shared" si="11"/>
        <v>0</v>
      </c>
      <c r="O85" s="559" t="s">
        <v>596</v>
      </c>
      <c r="P85" s="549"/>
      <c r="Q85" s="549"/>
      <c r="S85" s="551"/>
      <c r="T85" s="549"/>
    </row>
    <row r="86" spans="1:20" s="550" customFormat="1" ht="16.5" customHeight="1">
      <c r="A86" s="552" t="s">
        <v>606</v>
      </c>
      <c r="B86" s="1350" t="s">
        <v>607</v>
      </c>
      <c r="C86" s="1351"/>
      <c r="D86" s="1352"/>
      <c r="E86" s="553" t="s">
        <v>558</v>
      </c>
      <c r="F86" s="554">
        <v>2</v>
      </c>
      <c r="G86" s="555">
        <v>109977</v>
      </c>
      <c r="H86" s="556">
        <f t="shared" si="10"/>
        <v>219954</v>
      </c>
      <c r="I86" s="557">
        <v>2</v>
      </c>
      <c r="J86" s="555">
        <v>109975</v>
      </c>
      <c r="K86" s="558">
        <f t="shared" si="12"/>
        <v>219950</v>
      </c>
      <c r="L86" s="545">
        <f>'[3]ACTA MOD. reformulacion'!K77</f>
        <v>0</v>
      </c>
      <c r="M86" s="546">
        <v>109975</v>
      </c>
      <c r="N86" s="547">
        <f t="shared" si="11"/>
        <v>0</v>
      </c>
      <c r="O86" s="559" t="s">
        <v>596</v>
      </c>
      <c r="P86" s="549"/>
      <c r="Q86" s="549"/>
      <c r="S86" s="551"/>
      <c r="T86" s="549"/>
    </row>
    <row r="87" spans="1:20" s="550" customFormat="1" ht="16.5" customHeight="1">
      <c r="A87" s="552" t="s">
        <v>608</v>
      </c>
      <c r="B87" s="1350" t="s">
        <v>609</v>
      </c>
      <c r="C87" s="1351"/>
      <c r="D87" s="1352"/>
      <c r="E87" s="553" t="s">
        <v>558</v>
      </c>
      <c r="F87" s="554">
        <v>12</v>
      </c>
      <c r="G87" s="555">
        <v>101977</v>
      </c>
      <c r="H87" s="556">
        <f t="shared" si="10"/>
        <v>1223724</v>
      </c>
      <c r="I87" s="557">
        <v>12</v>
      </c>
      <c r="J87" s="555">
        <v>101975</v>
      </c>
      <c r="K87" s="558">
        <f t="shared" si="12"/>
        <v>1223700</v>
      </c>
      <c r="L87" s="545">
        <f>'[3]ACTA MOD. reformulacion'!K78</f>
        <v>0</v>
      </c>
      <c r="M87" s="546">
        <v>101975</v>
      </c>
      <c r="N87" s="547">
        <f t="shared" si="11"/>
        <v>0</v>
      </c>
      <c r="O87" s="559" t="s">
        <v>596</v>
      </c>
      <c r="P87" s="549"/>
      <c r="Q87" s="549"/>
      <c r="S87" s="551"/>
      <c r="T87" s="549"/>
    </row>
    <row r="88" spans="1:20" s="550" customFormat="1" ht="16.5" customHeight="1">
      <c r="A88" s="552" t="s">
        <v>610</v>
      </c>
      <c r="B88" s="1350" t="s">
        <v>611</v>
      </c>
      <c r="C88" s="1351"/>
      <c r="D88" s="1352"/>
      <c r="E88" s="553" t="s">
        <v>558</v>
      </c>
      <c r="F88" s="554">
        <v>6</v>
      </c>
      <c r="G88" s="555">
        <v>67714</v>
      </c>
      <c r="H88" s="556">
        <f t="shared" si="10"/>
        <v>406284</v>
      </c>
      <c r="I88" s="557">
        <v>6</v>
      </c>
      <c r="J88" s="555">
        <v>67710</v>
      </c>
      <c r="K88" s="558">
        <f t="shared" si="12"/>
        <v>406260</v>
      </c>
      <c r="L88" s="545">
        <f>'[3]ACTA MOD. reformulacion'!K79</f>
        <v>0</v>
      </c>
      <c r="M88" s="546">
        <v>67710</v>
      </c>
      <c r="N88" s="547">
        <f t="shared" si="11"/>
        <v>0</v>
      </c>
      <c r="O88" s="559" t="s">
        <v>596</v>
      </c>
      <c r="P88" s="549"/>
      <c r="Q88" s="549"/>
      <c r="S88" s="551"/>
      <c r="T88" s="549"/>
    </row>
    <row r="89" spans="1:20" s="550" customFormat="1" ht="16.5" customHeight="1">
      <c r="A89" s="552" t="s">
        <v>612</v>
      </c>
      <c r="B89" s="1350" t="s">
        <v>613</v>
      </c>
      <c r="C89" s="1351"/>
      <c r="D89" s="1352"/>
      <c r="E89" s="553" t="s">
        <v>558</v>
      </c>
      <c r="F89" s="554">
        <v>46</v>
      </c>
      <c r="G89" s="555">
        <v>13050</v>
      </c>
      <c r="H89" s="556">
        <f t="shared" si="10"/>
        <v>600300</v>
      </c>
      <c r="I89" s="557">
        <v>46</v>
      </c>
      <c r="J89" s="555">
        <v>13050</v>
      </c>
      <c r="K89" s="558">
        <f t="shared" si="12"/>
        <v>600300</v>
      </c>
      <c r="L89" s="545">
        <f>'[3]ACTA MOD. reformulacion'!K80</f>
        <v>46</v>
      </c>
      <c r="M89" s="546">
        <v>13050</v>
      </c>
      <c r="N89" s="547">
        <f t="shared" si="11"/>
        <v>600300</v>
      </c>
      <c r="O89" s="559" t="s">
        <v>614</v>
      </c>
      <c r="P89" s="549"/>
      <c r="Q89" s="549"/>
      <c r="S89" s="551"/>
      <c r="T89" s="549"/>
    </row>
    <row r="90" spans="1:20" s="550" customFormat="1" ht="16.5" customHeight="1">
      <c r="A90" s="552" t="s">
        <v>615</v>
      </c>
      <c r="B90" s="1350" t="s">
        <v>616</v>
      </c>
      <c r="C90" s="1351"/>
      <c r="D90" s="1352"/>
      <c r="E90" s="553" t="s">
        <v>558</v>
      </c>
      <c r="F90" s="554">
        <v>4</v>
      </c>
      <c r="G90" s="555">
        <v>58244</v>
      </c>
      <c r="H90" s="556">
        <f t="shared" si="10"/>
        <v>232976</v>
      </c>
      <c r="I90" s="557">
        <v>4</v>
      </c>
      <c r="J90" s="555">
        <v>58240</v>
      </c>
      <c r="K90" s="558">
        <f t="shared" si="12"/>
        <v>232960</v>
      </c>
      <c r="L90" s="545">
        <f>'[3]ACTA MOD. reformulacion'!K81</f>
        <v>0</v>
      </c>
      <c r="M90" s="546">
        <v>58240</v>
      </c>
      <c r="N90" s="547">
        <f t="shared" si="11"/>
        <v>0</v>
      </c>
      <c r="O90" s="559" t="s">
        <v>596</v>
      </c>
      <c r="P90" s="549"/>
      <c r="Q90" s="549"/>
      <c r="S90" s="551"/>
      <c r="T90" s="549"/>
    </row>
    <row r="91" spans="1:20" s="550" customFormat="1" ht="16.5" customHeight="1">
      <c r="A91" s="552" t="s">
        <v>617</v>
      </c>
      <c r="B91" s="1350" t="s">
        <v>618</v>
      </c>
      <c r="C91" s="1351"/>
      <c r="D91" s="1352"/>
      <c r="E91" s="553" t="s">
        <v>558</v>
      </c>
      <c r="F91" s="554">
        <v>20</v>
      </c>
      <c r="G91" s="555">
        <v>147685</v>
      </c>
      <c r="H91" s="556">
        <f t="shared" si="10"/>
        <v>2953700</v>
      </c>
      <c r="I91" s="557">
        <v>20</v>
      </c>
      <c r="J91" s="555">
        <v>147685</v>
      </c>
      <c r="K91" s="558">
        <f t="shared" si="12"/>
        <v>2953700</v>
      </c>
      <c r="L91" s="545">
        <f>'[3]ACTA MOD. reformulacion'!K82</f>
        <v>0</v>
      </c>
      <c r="M91" s="546">
        <v>147685</v>
      </c>
      <c r="N91" s="547">
        <f t="shared" si="11"/>
        <v>0</v>
      </c>
      <c r="O91" s="559" t="s">
        <v>596</v>
      </c>
      <c r="P91" s="549"/>
      <c r="Q91" s="549"/>
      <c r="S91" s="551"/>
      <c r="T91" s="549"/>
    </row>
    <row r="92" spans="1:20" s="550" customFormat="1" ht="51" customHeight="1">
      <c r="A92" s="552" t="s">
        <v>619</v>
      </c>
      <c r="B92" s="1350" t="s">
        <v>620</v>
      </c>
      <c r="C92" s="1351"/>
      <c r="D92" s="1352"/>
      <c r="E92" s="553" t="s">
        <v>163</v>
      </c>
      <c r="F92" s="562">
        <v>12</v>
      </c>
      <c r="G92" s="563">
        <v>967177</v>
      </c>
      <c r="H92" s="556">
        <f t="shared" si="10"/>
        <v>11606124</v>
      </c>
      <c r="I92" s="564">
        <v>12</v>
      </c>
      <c r="J92" s="563">
        <v>967175</v>
      </c>
      <c r="K92" s="558">
        <f t="shared" si="12"/>
        <v>11606100</v>
      </c>
      <c r="L92" s="545">
        <f>'[3]ACTA MOD. reformulacion'!K83</f>
        <v>12.48</v>
      </c>
      <c r="M92" s="546">
        <v>967175</v>
      </c>
      <c r="N92" s="547">
        <f t="shared" si="11"/>
        <v>12070344</v>
      </c>
      <c r="O92" s="559" t="s">
        <v>621</v>
      </c>
      <c r="P92" s="549"/>
      <c r="Q92" s="549"/>
      <c r="S92" s="551"/>
      <c r="T92" s="549"/>
    </row>
    <row r="93" spans="1:20" s="550" customFormat="1" ht="16.5" customHeight="1">
      <c r="A93" s="552" t="s">
        <v>622</v>
      </c>
      <c r="B93" s="1350" t="s">
        <v>623</v>
      </c>
      <c r="C93" s="1351"/>
      <c r="D93" s="1352"/>
      <c r="E93" s="553" t="s">
        <v>558</v>
      </c>
      <c r="F93" s="554">
        <v>1</v>
      </c>
      <c r="G93" s="555">
        <v>365877</v>
      </c>
      <c r="H93" s="556">
        <f t="shared" si="10"/>
        <v>365877</v>
      </c>
      <c r="I93" s="557">
        <v>1</v>
      </c>
      <c r="J93" s="555">
        <v>365875</v>
      </c>
      <c r="K93" s="558">
        <f t="shared" si="12"/>
        <v>365875</v>
      </c>
      <c r="L93" s="545">
        <f>'[3]ACTA MOD. reformulacion'!K84</f>
        <v>1</v>
      </c>
      <c r="M93" s="546">
        <v>365875</v>
      </c>
      <c r="N93" s="547">
        <f t="shared" si="11"/>
        <v>365875</v>
      </c>
      <c r="O93" s="559" t="s">
        <v>624</v>
      </c>
      <c r="P93" s="549"/>
      <c r="Q93" s="549"/>
      <c r="S93" s="551"/>
      <c r="T93" s="549"/>
    </row>
    <row r="94" spans="1:20" s="550" customFormat="1" ht="16.5" customHeight="1">
      <c r="A94" s="552" t="s">
        <v>625</v>
      </c>
      <c r="B94" s="1350" t="s">
        <v>626</v>
      </c>
      <c r="C94" s="1351"/>
      <c r="D94" s="1352"/>
      <c r="E94" s="553" t="s">
        <v>558</v>
      </c>
      <c r="F94" s="554">
        <v>8</v>
      </c>
      <c r="G94" s="555">
        <v>186414</v>
      </c>
      <c r="H94" s="556">
        <f t="shared" si="10"/>
        <v>1491312</v>
      </c>
      <c r="I94" s="557">
        <v>8</v>
      </c>
      <c r="J94" s="555">
        <v>186410</v>
      </c>
      <c r="K94" s="558">
        <f t="shared" si="12"/>
        <v>1491280</v>
      </c>
      <c r="L94" s="545">
        <f>'[3]ACTA MOD. reformulacion'!K85</f>
        <v>0</v>
      </c>
      <c r="M94" s="546">
        <v>186410</v>
      </c>
      <c r="N94" s="547">
        <f t="shared" si="11"/>
        <v>0</v>
      </c>
      <c r="O94" s="559" t="s">
        <v>596</v>
      </c>
      <c r="P94" s="549"/>
      <c r="Q94" s="549"/>
      <c r="S94" s="551"/>
      <c r="T94" s="549"/>
    </row>
    <row r="95" spans="1:20" s="550" customFormat="1" ht="15.75" customHeight="1">
      <c r="A95" s="1427"/>
      <c r="B95" s="1428"/>
      <c r="C95" s="1428"/>
      <c r="D95" s="1429"/>
      <c r="E95" s="593"/>
      <c r="F95" s="1419" t="s">
        <v>627</v>
      </c>
      <c r="G95" s="1415"/>
      <c r="H95" s="594">
        <f>+SUM(H81:H94)</f>
        <v>50466517</v>
      </c>
      <c r="I95" s="1414" t="s">
        <v>627</v>
      </c>
      <c r="J95" s="1415"/>
      <c r="K95" s="594">
        <f>SUM(K81:K94)</f>
        <v>50466385</v>
      </c>
      <c r="L95" s="545">
        <f>'[3]ACTA MOD. reformulacion'!K86</f>
        <v>0</v>
      </c>
      <c r="M95" s="546">
        <v>0</v>
      </c>
      <c r="N95" s="594">
        <f>SUM(N81:N94)</f>
        <v>20551719</v>
      </c>
      <c r="O95" s="559"/>
      <c r="P95" s="549"/>
      <c r="Q95" s="549"/>
      <c r="S95" s="551"/>
      <c r="T95" s="549"/>
    </row>
    <row r="96" spans="1:20" s="550" customFormat="1">
      <c r="A96" s="606"/>
      <c r="B96" s="607" t="s">
        <v>628</v>
      </c>
      <c r="C96" s="608"/>
      <c r="D96" s="608"/>
      <c r="E96" s="608"/>
      <c r="F96" s="609"/>
      <c r="G96" s="610"/>
      <c r="H96" s="611">
        <f>+SUM(H54+H63+H73+H79+H95)</f>
        <v>241063346</v>
      </c>
      <c r="I96" s="612"/>
      <c r="J96" s="610"/>
      <c r="K96" s="611">
        <f>+K54+K73+K79+K95+K63</f>
        <v>241058362</v>
      </c>
      <c r="L96" s="545">
        <f>'[3]ACTA MOD. reformulacion'!K87</f>
        <v>0</v>
      </c>
      <c r="M96" s="546"/>
      <c r="N96" s="613">
        <f>SUM(N95,N79,N73,N63,N54)</f>
        <v>264839017</v>
      </c>
      <c r="O96" s="559"/>
      <c r="P96" s="549"/>
      <c r="Q96" s="549"/>
      <c r="S96" s="551"/>
      <c r="T96" s="549"/>
    </row>
    <row r="97" spans="1:20" s="550" customFormat="1" ht="20.25" customHeight="1">
      <c r="A97" s="577">
        <v>3</v>
      </c>
      <c r="B97" s="1347" t="s">
        <v>629</v>
      </c>
      <c r="C97" s="1348"/>
      <c r="D97" s="1349"/>
      <c r="E97" s="578"/>
      <c r="F97" s="579"/>
      <c r="G97" s="580"/>
      <c r="H97" s="581"/>
      <c r="I97" s="582"/>
      <c r="J97" s="580"/>
      <c r="K97" s="544"/>
      <c r="L97" s="545">
        <f>'[3]ACTA MOD. reformulacion'!K88</f>
        <v>0</v>
      </c>
      <c r="M97" s="546"/>
      <c r="N97" s="547"/>
      <c r="O97" s="559"/>
      <c r="P97" s="549"/>
      <c r="Q97" s="549"/>
      <c r="S97" s="551"/>
      <c r="T97" s="549"/>
    </row>
    <row r="98" spans="1:20" s="550" customFormat="1" ht="16.5" customHeight="1">
      <c r="A98" s="552">
        <v>3.1</v>
      </c>
      <c r="B98" s="1350" t="s">
        <v>507</v>
      </c>
      <c r="C98" s="1351"/>
      <c r="D98" s="1352"/>
      <c r="E98" s="553"/>
      <c r="F98" s="554"/>
      <c r="G98" s="555"/>
      <c r="H98" s="556"/>
      <c r="I98" s="557"/>
      <c r="J98" s="555"/>
      <c r="K98" s="558"/>
      <c r="L98" s="545">
        <f>'[3]ACTA MOD. reformulacion'!K89</f>
        <v>0</v>
      </c>
      <c r="M98" s="546"/>
      <c r="N98" s="547"/>
      <c r="O98" s="559"/>
      <c r="P98" s="549"/>
      <c r="Q98" s="549"/>
      <c r="S98" s="551"/>
      <c r="T98" s="549"/>
    </row>
    <row r="99" spans="1:20" s="550" customFormat="1" ht="25.5" customHeight="1">
      <c r="A99" s="552" t="s">
        <v>630</v>
      </c>
      <c r="B99" s="1350" t="s">
        <v>631</v>
      </c>
      <c r="C99" s="1351"/>
      <c r="D99" s="1352"/>
      <c r="E99" s="553" t="s">
        <v>165</v>
      </c>
      <c r="F99" s="554">
        <v>13</v>
      </c>
      <c r="G99" s="555">
        <v>581963</v>
      </c>
      <c r="H99" s="556">
        <f>+ROUND(F99*G99,0)</f>
        <v>7565519</v>
      </c>
      <c r="I99" s="557">
        <v>13</v>
      </c>
      <c r="J99" s="555">
        <v>581960</v>
      </c>
      <c r="K99" s="558">
        <f>+ROUND(I99*J99,0)</f>
        <v>7565480</v>
      </c>
      <c r="L99" s="545">
        <f>'[3]ACTA MOD. reformulacion'!K90</f>
        <v>3.72</v>
      </c>
      <c r="M99" s="546">
        <v>581960</v>
      </c>
      <c r="N99" s="547">
        <f>ROUND(+L99*M99,0)</f>
        <v>2164891</v>
      </c>
      <c r="O99" s="559" t="s">
        <v>632</v>
      </c>
      <c r="P99" s="567">
        <f>13-3.72</f>
        <v>9.2799999999999994</v>
      </c>
      <c r="Q99" s="549"/>
      <c r="S99" s="551"/>
      <c r="T99" s="549"/>
    </row>
    <row r="100" spans="1:20" s="550" customFormat="1" ht="25.5" customHeight="1">
      <c r="A100" s="552" t="s">
        <v>633</v>
      </c>
      <c r="B100" s="1350" t="s">
        <v>634</v>
      </c>
      <c r="C100" s="1351"/>
      <c r="D100" s="1352"/>
      <c r="E100" s="553" t="s">
        <v>165</v>
      </c>
      <c r="F100" s="554">
        <v>23</v>
      </c>
      <c r="G100" s="555">
        <v>675316</v>
      </c>
      <c r="H100" s="556">
        <f>+ROUND(F100*G100,0)</f>
        <v>15532268</v>
      </c>
      <c r="I100" s="557">
        <v>23</v>
      </c>
      <c r="J100" s="555">
        <v>675315</v>
      </c>
      <c r="K100" s="558">
        <f>+ROUND(I100*J100,0)</f>
        <v>15532245</v>
      </c>
      <c r="L100" s="545">
        <f>'[3]ACTA MOD. reformulacion'!K91</f>
        <v>11.36</v>
      </c>
      <c r="M100" s="546">
        <v>675315</v>
      </c>
      <c r="N100" s="547">
        <f>ROUND(+L100*M100,0)</f>
        <v>7671578</v>
      </c>
      <c r="O100" s="559" t="s">
        <v>635</v>
      </c>
      <c r="P100" s="567">
        <f>23-11.36</f>
        <v>11.64</v>
      </c>
      <c r="Q100" s="549"/>
      <c r="S100" s="551"/>
      <c r="T100" s="549"/>
    </row>
    <row r="101" spans="1:20" s="550" customFormat="1" ht="25.5" customHeight="1">
      <c r="A101" s="552" t="s">
        <v>636</v>
      </c>
      <c r="B101" s="1350" t="s">
        <v>521</v>
      </c>
      <c r="C101" s="1351"/>
      <c r="D101" s="1352"/>
      <c r="E101" s="553" t="s">
        <v>637</v>
      </c>
      <c r="F101" s="554">
        <v>1040</v>
      </c>
      <c r="G101" s="555">
        <v>4040</v>
      </c>
      <c r="H101" s="556">
        <f>+ROUND(F101*G101,0)</f>
        <v>4201600</v>
      </c>
      <c r="I101" s="557">
        <v>1040</v>
      </c>
      <c r="J101" s="555">
        <v>4040</v>
      </c>
      <c r="K101" s="558">
        <f>+ROUND(I101*J101,0)</f>
        <v>4201600</v>
      </c>
      <c r="L101" s="545">
        <f>'[3]ACTA MOD. reformulacion'!K92</f>
        <v>1728.79</v>
      </c>
      <c r="M101" s="546">
        <v>4040</v>
      </c>
      <c r="N101" s="547">
        <f>ROUND(+L101*M101,0)</f>
        <v>6984312</v>
      </c>
      <c r="O101" s="559" t="s">
        <v>638</v>
      </c>
      <c r="P101" s="549"/>
      <c r="Q101" s="549"/>
      <c r="S101" s="551"/>
      <c r="T101" s="549"/>
    </row>
    <row r="102" spans="1:20" s="550" customFormat="1" ht="24.75" customHeight="1">
      <c r="A102" s="552" t="s">
        <v>639</v>
      </c>
      <c r="B102" s="1350" t="s">
        <v>640</v>
      </c>
      <c r="C102" s="1351"/>
      <c r="D102" s="1352"/>
      <c r="E102" s="553" t="s">
        <v>165</v>
      </c>
      <c r="F102" s="554">
        <v>2</v>
      </c>
      <c r="G102" s="555">
        <v>372787</v>
      </c>
      <c r="H102" s="556">
        <f>+ROUND(F102*G102,0)</f>
        <v>745574</v>
      </c>
      <c r="I102" s="557">
        <v>2</v>
      </c>
      <c r="J102" s="555">
        <v>372785</v>
      </c>
      <c r="K102" s="558">
        <f>+ROUND(I102*J102,0)</f>
        <v>745570</v>
      </c>
      <c r="L102" s="545">
        <f>'[3]ACTA MOD. reformulacion'!K93</f>
        <v>0.92999999999999994</v>
      </c>
      <c r="M102" s="546">
        <v>372785</v>
      </c>
      <c r="N102" s="547">
        <f>ROUND(+L102*M102,0)</f>
        <v>346690</v>
      </c>
      <c r="O102" s="559" t="s">
        <v>641</v>
      </c>
      <c r="P102" s="567">
        <f>2-0.93</f>
        <v>1.0699999999999998</v>
      </c>
      <c r="Q102" s="549"/>
      <c r="S102" s="551"/>
      <c r="T102" s="549"/>
    </row>
    <row r="103" spans="1:20" s="550" customFormat="1" ht="24.75" customHeight="1">
      <c r="A103" s="552" t="s">
        <v>642</v>
      </c>
      <c r="B103" s="1350" t="s">
        <v>525</v>
      </c>
      <c r="C103" s="1351"/>
      <c r="D103" s="1352"/>
      <c r="E103" s="553" t="s">
        <v>162</v>
      </c>
      <c r="F103" s="554">
        <v>40</v>
      </c>
      <c r="G103" s="555">
        <v>40215</v>
      </c>
      <c r="H103" s="556">
        <f>+ROUND(F103*G103,0)</f>
        <v>1608600</v>
      </c>
      <c r="I103" s="557">
        <v>40</v>
      </c>
      <c r="J103" s="555">
        <v>40215</v>
      </c>
      <c r="K103" s="558">
        <f>+ROUND(I103*J103,0)</f>
        <v>1608600</v>
      </c>
      <c r="L103" s="545">
        <f>'[3]ACTA MOD. reformulacion'!K94</f>
        <v>18</v>
      </c>
      <c r="M103" s="546">
        <v>40215</v>
      </c>
      <c r="N103" s="547">
        <f>ROUND(+L103*M103,0)</f>
        <v>723870</v>
      </c>
      <c r="O103" s="559" t="s">
        <v>643</v>
      </c>
      <c r="P103" s="567">
        <f>40-18</f>
        <v>22</v>
      </c>
      <c r="Q103" s="549"/>
      <c r="S103" s="551"/>
      <c r="T103" s="549"/>
    </row>
    <row r="104" spans="1:20" s="550" customFormat="1" ht="15.75" customHeight="1">
      <c r="A104" s="605"/>
      <c r="B104" s="1438"/>
      <c r="C104" s="1439"/>
      <c r="D104" s="1440"/>
      <c r="E104" s="593"/>
      <c r="F104" s="1419" t="s">
        <v>644</v>
      </c>
      <c r="G104" s="1415"/>
      <c r="H104" s="594">
        <f>+SUM(H99:H103)</f>
        <v>29653561</v>
      </c>
      <c r="I104" s="1414" t="s">
        <v>644</v>
      </c>
      <c r="J104" s="1415"/>
      <c r="K104" s="594">
        <f>+SUM(K99:K103)</f>
        <v>29653495</v>
      </c>
      <c r="L104" s="545">
        <f>'[3]ACTA MOD. reformulacion'!K95</f>
        <v>0</v>
      </c>
      <c r="M104" s="546">
        <v>0</v>
      </c>
      <c r="N104" s="594">
        <f>SUM(N99:N103)</f>
        <v>17891341</v>
      </c>
      <c r="O104" s="559"/>
      <c r="P104" s="549"/>
      <c r="Q104" s="549"/>
      <c r="S104" s="551"/>
      <c r="T104" s="549"/>
    </row>
    <row r="105" spans="1:20" s="550" customFormat="1" ht="17.25" customHeight="1">
      <c r="A105" s="595">
        <v>3.2</v>
      </c>
      <c r="B105" s="1423" t="s">
        <v>578</v>
      </c>
      <c r="C105" s="1424"/>
      <c r="D105" s="1425"/>
      <c r="E105" s="593"/>
      <c r="F105" s="596"/>
      <c r="G105" s="597"/>
      <c r="H105" s="594"/>
      <c r="I105" s="598"/>
      <c r="J105" s="597"/>
      <c r="K105" s="594"/>
      <c r="L105" s="545">
        <f>'[3]ACTA MOD. reformulacion'!K96</f>
        <v>0</v>
      </c>
      <c r="M105" s="546"/>
      <c r="N105" s="547"/>
      <c r="O105" s="559"/>
      <c r="P105" s="549"/>
      <c r="Q105" s="549"/>
      <c r="S105" s="551"/>
      <c r="T105" s="549"/>
    </row>
    <row r="106" spans="1:20" s="550" customFormat="1" ht="16.5" customHeight="1">
      <c r="A106" s="552" t="s">
        <v>645</v>
      </c>
      <c r="B106" s="1350" t="s">
        <v>583</v>
      </c>
      <c r="C106" s="1351"/>
      <c r="D106" s="1352"/>
      <c r="E106" s="553" t="s">
        <v>558</v>
      </c>
      <c r="F106" s="554">
        <v>3</v>
      </c>
      <c r="G106" s="555">
        <v>530343</v>
      </c>
      <c r="H106" s="556">
        <f>+ROUND(F106*G106,0)</f>
        <v>1591029</v>
      </c>
      <c r="I106" s="557">
        <v>3</v>
      </c>
      <c r="J106" s="555">
        <v>530340</v>
      </c>
      <c r="K106" s="558">
        <f>+ROUND(I106*J106,0)</f>
        <v>1591020</v>
      </c>
      <c r="L106" s="545">
        <f>'[3]ACTA MOD. reformulacion'!K97</f>
        <v>0</v>
      </c>
      <c r="M106" s="546">
        <v>530340</v>
      </c>
      <c r="N106" s="547">
        <f>+ROUND(L106*G106,0)</f>
        <v>0</v>
      </c>
      <c r="O106" s="559" t="s">
        <v>646</v>
      </c>
      <c r="P106" s="549"/>
      <c r="Q106" s="549"/>
      <c r="S106" s="551"/>
      <c r="T106" s="549"/>
    </row>
    <row r="107" spans="1:20" s="550" customFormat="1" ht="16.5" customHeight="1">
      <c r="A107" s="552" t="s">
        <v>647</v>
      </c>
      <c r="B107" s="1350" t="s">
        <v>648</v>
      </c>
      <c r="C107" s="1351"/>
      <c r="D107" s="1352"/>
      <c r="E107" s="553" t="s">
        <v>558</v>
      </c>
      <c r="F107" s="554">
        <v>1</v>
      </c>
      <c r="G107" s="555">
        <v>760735</v>
      </c>
      <c r="H107" s="556">
        <f>+F107*G107</f>
        <v>760735</v>
      </c>
      <c r="I107" s="557">
        <v>1</v>
      </c>
      <c r="J107" s="555">
        <v>760735</v>
      </c>
      <c r="K107" s="558">
        <f>+ROUND(I107*J107,0)</f>
        <v>760735</v>
      </c>
      <c r="L107" s="545">
        <f>'[3]ACTA MOD. reformulacion'!K98</f>
        <v>0</v>
      </c>
      <c r="M107" s="546">
        <v>760735</v>
      </c>
      <c r="N107" s="547">
        <f>+ROUND(L107*G107,0)</f>
        <v>0</v>
      </c>
      <c r="O107" s="559" t="s">
        <v>649</v>
      </c>
      <c r="P107" s="549"/>
      <c r="Q107" s="549"/>
      <c r="S107" s="551"/>
      <c r="T107" s="549"/>
    </row>
    <row r="108" spans="1:20" s="550" customFormat="1" ht="25.5" customHeight="1">
      <c r="A108" s="614"/>
      <c r="B108" s="1438"/>
      <c r="C108" s="1439"/>
      <c r="D108" s="1441"/>
      <c r="E108" s="615"/>
      <c r="F108" s="1419" t="s">
        <v>591</v>
      </c>
      <c r="G108" s="1415"/>
      <c r="H108" s="594">
        <f>+SUM(H106+H107)</f>
        <v>2351764</v>
      </c>
      <c r="I108" s="1414" t="s">
        <v>591</v>
      </c>
      <c r="J108" s="1415"/>
      <c r="K108" s="594">
        <f>SUM(K106:K107)</f>
        <v>2351755</v>
      </c>
      <c r="L108" s="545">
        <f>'[3]ACTA MOD. reformulacion'!K99</f>
        <v>0</v>
      </c>
      <c r="M108" s="546"/>
      <c r="N108" s="594">
        <f>SUM(N106:N107)</f>
        <v>0</v>
      </c>
      <c r="O108" s="559"/>
      <c r="P108" s="549"/>
      <c r="Q108" s="549"/>
      <c r="S108" s="551"/>
      <c r="T108" s="549"/>
    </row>
    <row r="109" spans="1:20" s="550" customFormat="1" ht="17.25" customHeight="1">
      <c r="A109" s="595">
        <v>3.3</v>
      </c>
      <c r="B109" s="1423" t="s">
        <v>593</v>
      </c>
      <c r="C109" s="1424"/>
      <c r="D109" s="1425"/>
      <c r="E109" s="593"/>
      <c r="F109" s="596"/>
      <c r="G109" s="597"/>
      <c r="H109" s="594"/>
      <c r="I109" s="598"/>
      <c r="J109" s="597"/>
      <c r="K109" s="594"/>
      <c r="L109" s="545">
        <f>'[3]ACTA MOD. reformulacion'!K100</f>
        <v>0</v>
      </c>
      <c r="M109" s="546"/>
      <c r="N109" s="547"/>
      <c r="O109" s="559"/>
      <c r="P109" s="549"/>
      <c r="Q109" s="549"/>
      <c r="S109" s="551"/>
      <c r="T109" s="549"/>
    </row>
    <row r="110" spans="1:20" s="550" customFormat="1" ht="16.5" customHeight="1">
      <c r="A110" s="552" t="s">
        <v>650</v>
      </c>
      <c r="B110" s="1350" t="s">
        <v>651</v>
      </c>
      <c r="C110" s="1351"/>
      <c r="D110" s="1352"/>
      <c r="E110" s="553" t="s">
        <v>558</v>
      </c>
      <c r="F110" s="554">
        <v>1</v>
      </c>
      <c r="G110" s="555">
        <v>1798273</v>
      </c>
      <c r="H110" s="556">
        <f>+ROUND(F110*G110,0)</f>
        <v>1798273</v>
      </c>
      <c r="I110" s="557">
        <v>1</v>
      </c>
      <c r="J110" s="555">
        <v>1798270</v>
      </c>
      <c r="K110" s="558">
        <f>+ROUND(I110*J110,0)</f>
        <v>1798270</v>
      </c>
      <c r="L110" s="545">
        <f>'[3]ACTA MOD. reformulacion'!K101</f>
        <v>1</v>
      </c>
      <c r="M110" s="546">
        <v>1798270</v>
      </c>
      <c r="N110" s="547">
        <f>ROUND(+L110*M110,0)</f>
        <v>1798270</v>
      </c>
      <c r="O110" s="559" t="s">
        <v>652</v>
      </c>
      <c r="P110" s="549"/>
      <c r="Q110" s="549"/>
      <c r="S110" s="551"/>
      <c r="T110" s="549"/>
    </row>
    <row r="111" spans="1:20" s="550" customFormat="1" ht="16.5" customHeight="1">
      <c r="A111" s="552" t="s">
        <v>653</v>
      </c>
      <c r="B111" s="1350" t="s">
        <v>654</v>
      </c>
      <c r="C111" s="1351"/>
      <c r="D111" s="1352"/>
      <c r="E111" s="553" t="s">
        <v>558</v>
      </c>
      <c r="F111" s="554">
        <v>10</v>
      </c>
      <c r="G111" s="555">
        <v>13050</v>
      </c>
      <c r="H111" s="556">
        <f>+ROUND(F111*G111,0)</f>
        <v>130500</v>
      </c>
      <c r="I111" s="557">
        <v>10</v>
      </c>
      <c r="J111" s="555">
        <v>13050</v>
      </c>
      <c r="K111" s="558">
        <f>+ROUND(I111*J111,0)</f>
        <v>130500</v>
      </c>
      <c r="L111" s="545">
        <f>'[3]ACTA MOD. reformulacion'!K102</f>
        <v>10</v>
      </c>
      <c r="M111" s="546">
        <v>13050</v>
      </c>
      <c r="N111" s="547">
        <f>ROUND(+L111*M111,0)</f>
        <v>130500</v>
      </c>
      <c r="O111" s="559" t="s">
        <v>655</v>
      </c>
      <c r="P111" s="549"/>
      <c r="Q111" s="549"/>
      <c r="S111" s="551"/>
      <c r="T111" s="549"/>
    </row>
    <row r="112" spans="1:20" s="550" customFormat="1" ht="26.25" customHeight="1">
      <c r="A112" s="1418"/>
      <c r="B112" s="1402"/>
      <c r="C112" s="1402"/>
      <c r="D112" s="1426"/>
      <c r="E112" s="615"/>
      <c r="F112" s="1419" t="s">
        <v>627</v>
      </c>
      <c r="G112" s="1415"/>
      <c r="H112" s="594">
        <f>+SUM(H110+H111)</f>
        <v>1928773</v>
      </c>
      <c r="I112" s="1414" t="s">
        <v>627</v>
      </c>
      <c r="J112" s="1415"/>
      <c r="K112" s="594">
        <f>+SUM(K110+K111)</f>
        <v>1928770</v>
      </c>
      <c r="L112" s="545">
        <f>'[3]ACTA MOD. reformulacion'!K103</f>
        <v>0</v>
      </c>
      <c r="M112" s="546"/>
      <c r="N112" s="594">
        <f>SUM(N110:N111)</f>
        <v>1928770</v>
      </c>
      <c r="O112" s="559"/>
      <c r="P112" s="549"/>
      <c r="Q112" s="549"/>
      <c r="S112" s="551"/>
      <c r="T112" s="549"/>
    </row>
    <row r="113" spans="1:20" s="588" customFormat="1">
      <c r="A113" s="616"/>
      <c r="B113" s="608" t="s">
        <v>656</v>
      </c>
      <c r="C113" s="608"/>
      <c r="D113" s="608"/>
      <c r="E113" s="608"/>
      <c r="F113" s="609"/>
      <c r="G113" s="610"/>
      <c r="H113" s="611">
        <f>+SUM(H104+H108+H112)</f>
        <v>33934098</v>
      </c>
      <c r="I113" s="612"/>
      <c r="J113" s="610"/>
      <c r="K113" s="611">
        <f>+K104+K112+K108</f>
        <v>33934020</v>
      </c>
      <c r="L113" s="545">
        <f>'[3]ACTA MOD. reformulacion'!K104</f>
        <v>0</v>
      </c>
      <c r="M113" s="546"/>
      <c r="N113" s="611">
        <f>SUM(N112,N108,N104)</f>
        <v>19820111</v>
      </c>
      <c r="O113" s="559"/>
      <c r="P113" s="549"/>
      <c r="Q113" s="549"/>
      <c r="S113" s="551"/>
      <c r="T113" s="549"/>
    </row>
    <row r="114" spans="1:20" s="550" customFormat="1" ht="20.25" customHeight="1">
      <c r="A114" s="577">
        <v>4</v>
      </c>
      <c r="B114" s="1347" t="s">
        <v>657</v>
      </c>
      <c r="C114" s="1348"/>
      <c r="D114" s="1349"/>
      <c r="E114" s="578"/>
      <c r="F114" s="579"/>
      <c r="G114" s="580"/>
      <c r="H114" s="581"/>
      <c r="I114" s="582"/>
      <c r="J114" s="580"/>
      <c r="K114" s="544"/>
      <c r="L114" s="545">
        <f>'[3]ACTA MOD. reformulacion'!K105</f>
        <v>0</v>
      </c>
      <c r="M114" s="546"/>
      <c r="N114" s="547"/>
      <c r="O114" s="559"/>
      <c r="P114" s="549"/>
      <c r="Q114" s="549"/>
      <c r="S114" s="551"/>
      <c r="T114" s="549"/>
    </row>
    <row r="115" spans="1:20" s="550" customFormat="1">
      <c r="A115" s="606">
        <v>4.0999999999999996</v>
      </c>
      <c r="B115" s="1347" t="s">
        <v>507</v>
      </c>
      <c r="C115" s="1348"/>
      <c r="D115" s="1349"/>
      <c r="E115" s="578"/>
      <c r="F115" s="579"/>
      <c r="G115" s="580"/>
      <c r="H115" s="581"/>
      <c r="I115" s="582"/>
      <c r="J115" s="580"/>
      <c r="K115" s="544"/>
      <c r="L115" s="545">
        <f>'[3]ACTA MOD. reformulacion'!K106</f>
        <v>0</v>
      </c>
      <c r="M115" s="546"/>
      <c r="N115" s="544"/>
      <c r="O115" s="559"/>
      <c r="P115" s="549"/>
      <c r="Q115" s="549"/>
      <c r="S115" s="551"/>
      <c r="T115" s="549"/>
    </row>
    <row r="116" spans="1:20" s="550" customFormat="1" ht="32.25" customHeight="1">
      <c r="A116" s="552" t="s">
        <v>658</v>
      </c>
      <c r="B116" s="1350" t="s">
        <v>659</v>
      </c>
      <c r="C116" s="1351"/>
      <c r="D116" s="1352"/>
      <c r="E116" s="553" t="s">
        <v>162</v>
      </c>
      <c r="F116" s="554">
        <v>12</v>
      </c>
      <c r="G116" s="555">
        <v>66303</v>
      </c>
      <c r="H116" s="556">
        <f>+ROUND(F116*G116,0)</f>
        <v>795636</v>
      </c>
      <c r="I116" s="557">
        <v>12</v>
      </c>
      <c r="J116" s="555">
        <v>66300</v>
      </c>
      <c r="K116" s="558">
        <f>+ROUND(I116*J116,0)</f>
        <v>795600</v>
      </c>
      <c r="L116" s="545">
        <f>'[3]ACTA MOD. reformulacion'!K107</f>
        <v>12</v>
      </c>
      <c r="M116" s="617">
        <v>66300</v>
      </c>
      <c r="N116" s="547">
        <f>ROUND(+L116*M116,0)</f>
        <v>795600</v>
      </c>
      <c r="O116" s="559" t="s">
        <v>660</v>
      </c>
      <c r="P116" s="549"/>
      <c r="Q116" s="549"/>
      <c r="S116" s="551"/>
      <c r="T116" s="549"/>
    </row>
    <row r="117" spans="1:20" s="550" customFormat="1" ht="32.25" customHeight="1">
      <c r="A117" s="552" t="s">
        <v>661</v>
      </c>
      <c r="B117" s="1350" t="s">
        <v>662</v>
      </c>
      <c r="C117" s="1351"/>
      <c r="D117" s="1352"/>
      <c r="E117" s="553" t="s">
        <v>162</v>
      </c>
      <c r="F117" s="554">
        <v>14</v>
      </c>
      <c r="G117" s="555">
        <v>58840</v>
      </c>
      <c r="H117" s="556">
        <f>+F117*G117</f>
        <v>823760</v>
      </c>
      <c r="I117" s="557">
        <v>14</v>
      </c>
      <c r="J117" s="555">
        <v>58840</v>
      </c>
      <c r="K117" s="558">
        <f>+ROUND(I117*J117,0)</f>
        <v>823760</v>
      </c>
      <c r="L117" s="545">
        <f>'[3]ACTA MOD. reformulacion'!K108</f>
        <v>30</v>
      </c>
      <c r="M117" s="617">
        <v>58840</v>
      </c>
      <c r="N117" s="547">
        <f>ROUND(+L117*M117,0)</f>
        <v>1765200</v>
      </c>
      <c r="O117" s="559" t="s">
        <v>660</v>
      </c>
      <c r="P117" s="549"/>
      <c r="Q117" s="549"/>
      <c r="S117" s="551"/>
      <c r="T117" s="549"/>
    </row>
    <row r="118" spans="1:20" s="550" customFormat="1" ht="42" customHeight="1">
      <c r="A118" s="552" t="s">
        <v>663</v>
      </c>
      <c r="B118" s="1350" t="s">
        <v>521</v>
      </c>
      <c r="C118" s="1351"/>
      <c r="D118" s="1352"/>
      <c r="E118" s="553" t="s">
        <v>522</v>
      </c>
      <c r="F118" s="554">
        <v>2600</v>
      </c>
      <c r="G118" s="555">
        <v>4040</v>
      </c>
      <c r="H118" s="556">
        <f>+F118*G118</f>
        <v>10504000</v>
      </c>
      <c r="I118" s="557">
        <v>2600</v>
      </c>
      <c r="J118" s="555">
        <v>4040</v>
      </c>
      <c r="K118" s="558">
        <f>+ROUND(I118*J118,0)</f>
        <v>10504000</v>
      </c>
      <c r="L118" s="565">
        <f>'[3]ACTA MOD. reformulacion'!K109</f>
        <v>2800</v>
      </c>
      <c r="M118" s="617">
        <v>4040</v>
      </c>
      <c r="N118" s="547">
        <f>ROUND(+L118*M118,0)</f>
        <v>11312000</v>
      </c>
      <c r="O118" s="559" t="s">
        <v>664</v>
      </c>
      <c r="P118" s="549"/>
      <c r="Q118" s="549">
        <f>2800*4040</f>
        <v>11312000</v>
      </c>
      <c r="S118" s="551"/>
      <c r="T118" s="549"/>
    </row>
    <row r="119" spans="1:20" s="550" customFormat="1" ht="24" customHeight="1">
      <c r="A119" s="618"/>
      <c r="B119" s="1438"/>
      <c r="C119" s="1439"/>
      <c r="D119" s="1440"/>
      <c r="E119" s="593"/>
      <c r="F119" s="1419" t="s">
        <v>665</v>
      </c>
      <c r="G119" s="1415"/>
      <c r="H119" s="594">
        <f>+SUM(H116:H118)</f>
        <v>12123396</v>
      </c>
      <c r="I119" s="1414" t="s">
        <v>665</v>
      </c>
      <c r="J119" s="1415"/>
      <c r="K119" s="594">
        <f>+SUM(K116:K118)</f>
        <v>12123360</v>
      </c>
      <c r="L119" s="545">
        <f>'[3]ACTA MOD. reformulacion'!K110</f>
        <v>0</v>
      </c>
      <c r="M119" s="594">
        <v>0</v>
      </c>
      <c r="N119" s="594">
        <f>+SUM(N116:N118)</f>
        <v>13872800</v>
      </c>
      <c r="O119" s="559"/>
      <c r="P119" s="549"/>
      <c r="Q119" s="549"/>
      <c r="S119" s="551"/>
      <c r="T119" s="549"/>
    </row>
    <row r="120" spans="1:20" s="550" customFormat="1" ht="17.25" customHeight="1">
      <c r="A120" s="595">
        <v>4.2</v>
      </c>
      <c r="B120" s="1423" t="s">
        <v>666</v>
      </c>
      <c r="C120" s="1424"/>
      <c r="D120" s="1425"/>
      <c r="E120" s="593"/>
      <c r="F120" s="596"/>
      <c r="G120" s="597"/>
      <c r="H120" s="594"/>
      <c r="I120" s="598"/>
      <c r="J120" s="597"/>
      <c r="K120" s="594"/>
      <c r="L120" s="545">
        <f>'[3]ACTA MOD. reformulacion'!K111</f>
        <v>0</v>
      </c>
      <c r="M120" s="546">
        <v>0</v>
      </c>
      <c r="N120" s="547"/>
      <c r="O120" s="559"/>
      <c r="P120" s="549"/>
      <c r="Q120" s="549"/>
      <c r="S120" s="551"/>
      <c r="T120" s="549"/>
    </row>
    <row r="121" spans="1:20" s="550" customFormat="1" ht="36" customHeight="1">
      <c r="A121" s="552" t="s">
        <v>667</v>
      </c>
      <c r="B121" s="1350" t="s">
        <v>668</v>
      </c>
      <c r="C121" s="1351"/>
      <c r="D121" s="1352"/>
      <c r="E121" s="553" t="s">
        <v>163</v>
      </c>
      <c r="F121" s="554">
        <v>32</v>
      </c>
      <c r="G121" s="555">
        <v>35354</v>
      </c>
      <c r="H121" s="556">
        <f>+ROUND(F121*G121,0)</f>
        <v>1131328</v>
      </c>
      <c r="I121" s="557">
        <v>32</v>
      </c>
      <c r="J121" s="555">
        <v>35350</v>
      </c>
      <c r="K121" s="558">
        <f>+ROUND(I121*J121,0)</f>
        <v>1131200</v>
      </c>
      <c r="L121" s="565">
        <f>'[3]ACTA MOD. reformulacion'!K112</f>
        <v>42</v>
      </c>
      <c r="M121" s="617">
        <v>35350</v>
      </c>
      <c r="N121" s="547">
        <f>ROUND(+L121*M121,0)</f>
        <v>1484700</v>
      </c>
      <c r="O121" s="559" t="s">
        <v>669</v>
      </c>
      <c r="P121" s="549"/>
      <c r="Q121" s="549">
        <f>42*35350</f>
        <v>1484700</v>
      </c>
      <c r="S121" s="551"/>
      <c r="T121" s="549"/>
    </row>
    <row r="122" spans="1:20" s="550" customFormat="1" ht="36" customHeight="1">
      <c r="A122" s="552" t="s">
        <v>670</v>
      </c>
      <c r="B122" s="1350" t="s">
        <v>671</v>
      </c>
      <c r="C122" s="1351"/>
      <c r="D122" s="1352"/>
      <c r="E122" s="553" t="s">
        <v>163</v>
      </c>
      <c r="F122" s="554">
        <v>32</v>
      </c>
      <c r="G122" s="555">
        <v>11019</v>
      </c>
      <c r="H122" s="556">
        <f>+ROUND(F122*G122,0)</f>
        <v>352608</v>
      </c>
      <c r="I122" s="557">
        <v>32</v>
      </c>
      <c r="J122" s="555">
        <v>11015</v>
      </c>
      <c r="K122" s="558">
        <f>+ROUND(I122*J122,0)</f>
        <v>352480</v>
      </c>
      <c r="L122" s="565">
        <f>'[3]ACTA MOD. reformulacion'!K113</f>
        <v>84</v>
      </c>
      <c r="M122" s="617">
        <v>11015</v>
      </c>
      <c r="N122" s="547">
        <f>ROUND(+L122*M122,0)</f>
        <v>925260</v>
      </c>
      <c r="O122" s="559" t="s">
        <v>672</v>
      </c>
      <c r="P122" s="567">
        <f>84-32</f>
        <v>52</v>
      </c>
      <c r="Q122" s="549">
        <f>84*11015</f>
        <v>925260</v>
      </c>
      <c r="S122" s="551"/>
      <c r="T122" s="549"/>
    </row>
    <row r="123" spans="1:20" s="550" customFormat="1" ht="15.75" customHeight="1">
      <c r="A123" s="1427"/>
      <c r="B123" s="1428"/>
      <c r="C123" s="1428"/>
      <c r="D123" s="1430"/>
      <c r="E123" s="615"/>
      <c r="F123" s="1419" t="s">
        <v>673</v>
      </c>
      <c r="G123" s="1415"/>
      <c r="H123" s="594">
        <f>+SUM(H121+H122)</f>
        <v>1483936</v>
      </c>
      <c r="I123" s="1414" t="s">
        <v>673</v>
      </c>
      <c r="J123" s="1415"/>
      <c r="K123" s="594">
        <f>+SUM(K121+K122)</f>
        <v>1483680</v>
      </c>
      <c r="L123" s="545">
        <f>'[3]ACTA MOD. reformulacion'!K114</f>
        <v>0</v>
      </c>
      <c r="M123" s="594">
        <v>0</v>
      </c>
      <c r="N123" s="594">
        <f>+SUM(N121+N122)</f>
        <v>2409960</v>
      </c>
      <c r="O123" s="559"/>
      <c r="P123" s="549"/>
      <c r="Q123" s="549"/>
      <c r="S123" s="551"/>
      <c r="T123" s="549"/>
    </row>
    <row r="124" spans="1:20" s="550" customFormat="1" ht="17.25" customHeight="1">
      <c r="A124" s="595">
        <v>4.3</v>
      </c>
      <c r="B124" s="1423" t="s">
        <v>674</v>
      </c>
      <c r="C124" s="1424"/>
      <c r="D124" s="1425"/>
      <c r="E124" s="593"/>
      <c r="F124" s="596"/>
      <c r="G124" s="597"/>
      <c r="H124" s="594"/>
      <c r="I124" s="598"/>
      <c r="J124" s="597"/>
      <c r="K124" s="594"/>
      <c r="L124" s="545">
        <f>'[3]ACTA MOD. reformulacion'!K115</f>
        <v>0</v>
      </c>
      <c r="M124" s="546">
        <v>0</v>
      </c>
      <c r="N124" s="547"/>
      <c r="O124" s="559"/>
      <c r="P124" s="549"/>
      <c r="Q124" s="549"/>
      <c r="S124" s="551"/>
      <c r="T124" s="549"/>
    </row>
    <row r="125" spans="1:20" s="550" customFormat="1" ht="25.5" customHeight="1">
      <c r="A125" s="552" t="s">
        <v>675</v>
      </c>
      <c r="B125" s="1350" t="s">
        <v>676</v>
      </c>
      <c r="C125" s="1351"/>
      <c r="D125" s="1352"/>
      <c r="E125" s="553" t="s">
        <v>163</v>
      </c>
      <c r="F125" s="554">
        <v>4.3</v>
      </c>
      <c r="G125" s="555">
        <v>129017</v>
      </c>
      <c r="H125" s="556">
        <v>554774</v>
      </c>
      <c r="I125" s="557">
        <v>4.3</v>
      </c>
      <c r="J125" s="555">
        <v>129015</v>
      </c>
      <c r="K125" s="558">
        <f>+ROUND(I125*J125,0)</f>
        <v>554765</v>
      </c>
      <c r="L125" s="545">
        <f>'[3]ACTA MOD. reformulacion'!K116</f>
        <v>4.3</v>
      </c>
      <c r="M125" s="617">
        <v>129015</v>
      </c>
      <c r="N125" s="547">
        <f>ROUND(+L125*M125,0)</f>
        <v>554765</v>
      </c>
      <c r="O125" s="559" t="s">
        <v>677</v>
      </c>
      <c r="P125" s="549"/>
      <c r="Q125" s="549"/>
      <c r="S125" s="551"/>
      <c r="T125" s="549"/>
    </row>
    <row r="126" spans="1:20" s="550" customFormat="1" ht="16.5" customHeight="1">
      <c r="A126" s="552" t="s">
        <v>678</v>
      </c>
      <c r="B126" s="1350" t="s">
        <v>679</v>
      </c>
      <c r="C126" s="1351"/>
      <c r="D126" s="1352"/>
      <c r="E126" s="553" t="s">
        <v>163</v>
      </c>
      <c r="F126" s="554">
        <v>5.4</v>
      </c>
      <c r="G126" s="555">
        <v>45395</v>
      </c>
      <c r="H126" s="556">
        <f>+ROUND(F126*G126,0)</f>
        <v>245133</v>
      </c>
      <c r="I126" s="557">
        <v>5.4</v>
      </c>
      <c r="J126" s="555">
        <v>45395</v>
      </c>
      <c r="K126" s="558">
        <f>+ROUND(I126*J126,0)</f>
        <v>245133</v>
      </c>
      <c r="L126" s="545">
        <f>'[3]ACTA MOD. reformulacion'!K117</f>
        <v>0</v>
      </c>
      <c r="M126" s="617">
        <v>45395</v>
      </c>
      <c r="N126" s="547">
        <f>+ROUND(L126*G126,0)</f>
        <v>0</v>
      </c>
      <c r="O126" s="559" t="s">
        <v>680</v>
      </c>
      <c r="P126" s="549"/>
      <c r="Q126" s="549"/>
      <c r="S126" s="551"/>
      <c r="T126" s="549"/>
    </row>
    <row r="127" spans="1:20" s="571" customFormat="1" ht="15.75" customHeight="1">
      <c r="A127" s="1427"/>
      <c r="B127" s="1428"/>
      <c r="C127" s="1428"/>
      <c r="D127" s="1430"/>
      <c r="E127" s="615"/>
      <c r="F127" s="1419" t="s">
        <v>681</v>
      </c>
      <c r="G127" s="1415"/>
      <c r="H127" s="594">
        <f>+SUM(H125+H126)</f>
        <v>799907</v>
      </c>
      <c r="I127" s="1414" t="s">
        <v>681</v>
      </c>
      <c r="J127" s="1415"/>
      <c r="K127" s="594">
        <f>+SUM(K125+K126)</f>
        <v>799898</v>
      </c>
      <c r="L127" s="545">
        <f>'[3]ACTA MOD. reformulacion'!K118</f>
        <v>0</v>
      </c>
      <c r="M127" s="594">
        <v>0</v>
      </c>
      <c r="N127" s="594">
        <f>+SUM(N125+N126)</f>
        <v>554765</v>
      </c>
      <c r="O127" s="559"/>
      <c r="P127" s="549"/>
      <c r="Q127" s="549"/>
      <c r="S127" s="551"/>
      <c r="T127" s="549"/>
    </row>
    <row r="128" spans="1:20" s="550" customFormat="1" ht="17.25" customHeight="1">
      <c r="A128" s="595">
        <v>4.4000000000000004</v>
      </c>
      <c r="B128" s="1423" t="s">
        <v>682</v>
      </c>
      <c r="C128" s="1424"/>
      <c r="D128" s="1425"/>
      <c r="E128" s="593"/>
      <c r="F128" s="596"/>
      <c r="G128" s="597"/>
      <c r="H128" s="594"/>
      <c r="I128" s="598"/>
      <c r="J128" s="597"/>
      <c r="K128" s="594"/>
      <c r="L128" s="545">
        <f>'[3]ACTA MOD. reformulacion'!K119</f>
        <v>0</v>
      </c>
      <c r="M128" s="546">
        <v>0</v>
      </c>
      <c r="N128" s="547"/>
      <c r="O128" s="559"/>
      <c r="P128" s="549"/>
      <c r="Q128" s="549"/>
      <c r="S128" s="551"/>
      <c r="T128" s="549"/>
    </row>
    <row r="129" spans="1:20" s="550" customFormat="1" ht="24" customHeight="1">
      <c r="A129" s="552" t="s">
        <v>683</v>
      </c>
      <c r="B129" s="1350" t="s">
        <v>684</v>
      </c>
      <c r="C129" s="1351"/>
      <c r="D129" s="1352"/>
      <c r="E129" s="553" t="s">
        <v>163</v>
      </c>
      <c r="F129" s="554">
        <v>4.3</v>
      </c>
      <c r="G129" s="555">
        <v>13950</v>
      </c>
      <c r="H129" s="556">
        <f>+ROUND(F129*G129,0)</f>
        <v>59985</v>
      </c>
      <c r="I129" s="557">
        <v>4.3</v>
      </c>
      <c r="J129" s="555">
        <v>13950</v>
      </c>
      <c r="K129" s="558">
        <f>+ROUND(I129*J129,0)</f>
        <v>59985</v>
      </c>
      <c r="L129" s="545">
        <f>'[3]ACTA MOD. reformulacion'!K120</f>
        <v>4.3</v>
      </c>
      <c r="M129" s="617">
        <v>13950</v>
      </c>
      <c r="N129" s="547">
        <f>ROUND(+L129*M129,0)</f>
        <v>59985</v>
      </c>
      <c r="O129" s="559" t="s">
        <v>677</v>
      </c>
      <c r="P129" s="549"/>
      <c r="Q129" s="549"/>
      <c r="S129" s="551"/>
      <c r="T129" s="549"/>
    </row>
    <row r="130" spans="1:20" s="550" customFormat="1" ht="24" customHeight="1">
      <c r="A130" s="552" t="s">
        <v>685</v>
      </c>
      <c r="B130" s="1350" t="s">
        <v>686</v>
      </c>
      <c r="C130" s="1351"/>
      <c r="D130" s="1352"/>
      <c r="E130" s="553" t="s">
        <v>163</v>
      </c>
      <c r="F130" s="554">
        <v>357</v>
      </c>
      <c r="G130" s="555">
        <v>9370</v>
      </c>
      <c r="H130" s="556">
        <f>+ROUND(F130*G130,0)</f>
        <v>3345090</v>
      </c>
      <c r="I130" s="557">
        <v>357</v>
      </c>
      <c r="J130" s="555">
        <v>9370</v>
      </c>
      <c r="K130" s="558">
        <f>+ROUND(I130*J130,0)</f>
        <v>3345090</v>
      </c>
      <c r="L130" s="545">
        <f>'[3]ACTA MOD. reformulacion'!K121</f>
        <v>357</v>
      </c>
      <c r="M130" s="617">
        <v>9370</v>
      </c>
      <c r="N130" s="547">
        <f>ROUND(+L130*M130,0)</f>
        <v>3345090</v>
      </c>
      <c r="O130" s="559" t="s">
        <v>677</v>
      </c>
      <c r="P130" s="549"/>
      <c r="Q130" s="549"/>
      <c r="S130" s="551"/>
      <c r="T130" s="549"/>
    </row>
    <row r="131" spans="1:20" s="550" customFormat="1" ht="24" customHeight="1">
      <c r="A131" s="552" t="s">
        <v>687</v>
      </c>
      <c r="B131" s="1350" t="s">
        <v>688</v>
      </c>
      <c r="C131" s="1351"/>
      <c r="D131" s="1352"/>
      <c r="E131" s="553" t="s">
        <v>163</v>
      </c>
      <c r="F131" s="554">
        <v>19</v>
      </c>
      <c r="G131" s="555">
        <v>31228</v>
      </c>
      <c r="H131" s="556">
        <f>+ROUND(F131*G131,0)</f>
        <v>593332</v>
      </c>
      <c r="I131" s="557">
        <v>19</v>
      </c>
      <c r="J131" s="555">
        <v>31225</v>
      </c>
      <c r="K131" s="558">
        <f>+ROUND(I131*J131,0)</f>
        <v>593275</v>
      </c>
      <c r="L131" s="545">
        <f>'[3]ACTA MOD. reformulacion'!K122</f>
        <v>19</v>
      </c>
      <c r="M131" s="617">
        <v>31225</v>
      </c>
      <c r="N131" s="547">
        <f>ROUND(+L131*M131,0)</f>
        <v>593275</v>
      </c>
      <c r="O131" s="559" t="s">
        <v>677</v>
      </c>
      <c r="P131" s="549"/>
      <c r="Q131" s="549"/>
      <c r="S131" s="551"/>
      <c r="T131" s="549"/>
    </row>
    <row r="132" spans="1:20" s="550" customFormat="1" ht="15.75" customHeight="1">
      <c r="A132" s="1427"/>
      <c r="B132" s="1428"/>
      <c r="C132" s="1428"/>
      <c r="D132" s="1430"/>
      <c r="E132" s="615"/>
      <c r="F132" s="1419" t="s">
        <v>689</v>
      </c>
      <c r="G132" s="1415"/>
      <c r="H132" s="594">
        <f>+SUM(H129:H131)</f>
        <v>3998407</v>
      </c>
      <c r="I132" s="1414" t="s">
        <v>689</v>
      </c>
      <c r="J132" s="1415"/>
      <c r="K132" s="594">
        <f>+SUM(K129:K131)</f>
        <v>3998350</v>
      </c>
      <c r="L132" s="545">
        <f>'[3]ACTA MOD. reformulacion'!K123</f>
        <v>0</v>
      </c>
      <c r="M132" s="594">
        <v>0</v>
      </c>
      <c r="N132" s="594">
        <f>+SUM(N129:N131)</f>
        <v>3998350</v>
      </c>
      <c r="O132" s="559"/>
      <c r="P132" s="549"/>
      <c r="Q132" s="549"/>
      <c r="S132" s="551"/>
      <c r="T132" s="549"/>
    </row>
    <row r="133" spans="1:20" s="550" customFormat="1" ht="17.25" customHeight="1">
      <c r="A133" s="595">
        <v>4.5</v>
      </c>
      <c r="B133" s="1423" t="s">
        <v>690</v>
      </c>
      <c r="C133" s="1424"/>
      <c r="D133" s="1425"/>
      <c r="E133" s="593"/>
      <c r="F133" s="596"/>
      <c r="G133" s="597"/>
      <c r="H133" s="594"/>
      <c r="I133" s="598"/>
      <c r="J133" s="597"/>
      <c r="K133" s="594"/>
      <c r="L133" s="545">
        <f>'[3]ACTA MOD. reformulacion'!K124</f>
        <v>0</v>
      </c>
      <c r="M133" s="546">
        <v>0</v>
      </c>
      <c r="N133" s="547"/>
      <c r="O133" s="559"/>
      <c r="P133" s="549"/>
      <c r="Q133" s="549"/>
      <c r="S133" s="551"/>
      <c r="T133" s="549"/>
    </row>
    <row r="134" spans="1:20" s="550" customFormat="1" ht="25.5" customHeight="1">
      <c r="A134" s="552" t="s">
        <v>691</v>
      </c>
      <c r="B134" s="1434" t="s">
        <v>692</v>
      </c>
      <c r="C134" s="1434"/>
      <c r="D134" s="1434"/>
      <c r="E134" s="553" t="s">
        <v>163</v>
      </c>
      <c r="F134" s="619">
        <v>100</v>
      </c>
      <c r="G134" s="620">
        <v>25358</v>
      </c>
      <c r="H134" s="556">
        <f>+ROUND(F134*G134,0)</f>
        <v>2535800</v>
      </c>
      <c r="I134" s="621">
        <v>100</v>
      </c>
      <c r="J134" s="620">
        <v>25355</v>
      </c>
      <c r="K134" s="558">
        <f>+ROUND(I134*J134,0)</f>
        <v>2535500</v>
      </c>
      <c r="L134" s="545">
        <f>'[3]ACTA MOD. reformulacion'!K125</f>
        <v>100</v>
      </c>
      <c r="M134" s="622">
        <v>25355</v>
      </c>
      <c r="N134" s="547">
        <f>ROUND(+L134*M134,0)</f>
        <v>2535500</v>
      </c>
      <c r="O134" s="559" t="s">
        <v>677</v>
      </c>
      <c r="P134" s="549"/>
      <c r="Q134" s="549"/>
      <c r="S134" s="551"/>
      <c r="T134" s="549"/>
    </row>
    <row r="135" spans="1:20" s="550" customFormat="1" ht="25.5" customHeight="1">
      <c r="A135" s="552" t="s">
        <v>693</v>
      </c>
      <c r="B135" s="1434" t="s">
        <v>694</v>
      </c>
      <c r="C135" s="1434"/>
      <c r="D135" s="1434"/>
      <c r="E135" s="553" t="s">
        <v>162</v>
      </c>
      <c r="F135" s="619">
        <v>15</v>
      </c>
      <c r="G135" s="620">
        <v>6540</v>
      </c>
      <c r="H135" s="556">
        <f>+ROUND(F135*G135,0)</f>
        <v>98100</v>
      </c>
      <c r="I135" s="621">
        <v>15</v>
      </c>
      <c r="J135" s="620">
        <v>6540</v>
      </c>
      <c r="K135" s="558">
        <f>+ROUND(I135*J135,0)</f>
        <v>98100</v>
      </c>
      <c r="L135" s="545">
        <f>'[3]ACTA MOD. reformulacion'!K126</f>
        <v>15</v>
      </c>
      <c r="M135" s="622">
        <v>6540</v>
      </c>
      <c r="N135" s="547">
        <f>ROUND(+L135*M135,0)</f>
        <v>98100</v>
      </c>
      <c r="O135" s="559" t="s">
        <v>677</v>
      </c>
      <c r="P135" s="549"/>
      <c r="Q135" s="549"/>
      <c r="S135" s="551"/>
      <c r="T135" s="549"/>
    </row>
    <row r="136" spans="1:20" s="550" customFormat="1" ht="25.5" customHeight="1">
      <c r="A136" s="552" t="s">
        <v>695</v>
      </c>
      <c r="B136" s="1434" t="s">
        <v>696</v>
      </c>
      <c r="C136" s="1434"/>
      <c r="D136" s="1434"/>
      <c r="E136" s="553" t="s">
        <v>162</v>
      </c>
      <c r="F136" s="619">
        <v>40</v>
      </c>
      <c r="G136" s="620">
        <v>35390</v>
      </c>
      <c r="H136" s="556">
        <f>+ROUND(F136*G136,0)</f>
        <v>1415600</v>
      </c>
      <c r="I136" s="621">
        <v>40</v>
      </c>
      <c r="J136" s="620">
        <v>35390</v>
      </c>
      <c r="K136" s="558">
        <f>+ROUND(I136*J136,0)</f>
        <v>1415600</v>
      </c>
      <c r="L136" s="545">
        <f>'[3]ACTA MOD. reformulacion'!K127</f>
        <v>40</v>
      </c>
      <c r="M136" s="622">
        <v>35390</v>
      </c>
      <c r="N136" s="547">
        <f>ROUND(+L136*M136,0)</f>
        <v>1415600</v>
      </c>
      <c r="O136" s="559" t="s">
        <v>677</v>
      </c>
      <c r="P136" s="549"/>
      <c r="Q136" s="549"/>
      <c r="S136" s="551"/>
      <c r="T136" s="549"/>
    </row>
    <row r="137" spans="1:20" s="550" customFormat="1" ht="15.75" customHeight="1">
      <c r="A137" s="1435"/>
      <c r="B137" s="1436"/>
      <c r="C137" s="1436"/>
      <c r="D137" s="1437"/>
      <c r="E137" s="593"/>
      <c r="F137" s="1419" t="s">
        <v>697</v>
      </c>
      <c r="G137" s="1415"/>
      <c r="H137" s="594">
        <f>+SUM(H134:H136)</f>
        <v>4049500</v>
      </c>
      <c r="I137" s="1414" t="s">
        <v>697</v>
      </c>
      <c r="J137" s="1415"/>
      <c r="K137" s="594">
        <f>+SUM(K134:K136)</f>
        <v>4049200</v>
      </c>
      <c r="L137" s="545">
        <f>'[3]ACTA MOD. reformulacion'!K128</f>
        <v>0</v>
      </c>
      <c r="M137" s="594">
        <v>0</v>
      </c>
      <c r="N137" s="594">
        <f>+SUM(N134:N136)</f>
        <v>4049200</v>
      </c>
      <c r="O137" s="559"/>
      <c r="P137" s="549"/>
      <c r="Q137" s="549"/>
      <c r="S137" s="551"/>
      <c r="T137" s="549"/>
    </row>
    <row r="138" spans="1:20" s="550" customFormat="1">
      <c r="A138" s="606"/>
      <c r="B138" s="607" t="s">
        <v>698</v>
      </c>
      <c r="C138" s="608"/>
      <c r="D138" s="608"/>
      <c r="E138" s="608"/>
      <c r="F138" s="609"/>
      <c r="G138" s="610"/>
      <c r="H138" s="611">
        <f>+SUM(H119+H123+H127+H132+H137)</f>
        <v>22455146</v>
      </c>
      <c r="I138" s="612"/>
      <c r="J138" s="610"/>
      <c r="K138" s="611">
        <f>+SUM(K119+K123+K127+K132+K137)</f>
        <v>22454488</v>
      </c>
      <c r="L138" s="545">
        <f>'[3]ACTA MOD. reformulacion'!K129</f>
        <v>0</v>
      </c>
      <c r="M138" s="623">
        <v>0</v>
      </c>
      <c r="N138" s="611">
        <f>+SUM(N119+N123+N127+N132+N137)</f>
        <v>24885075</v>
      </c>
      <c r="O138" s="559"/>
      <c r="P138" s="549"/>
      <c r="Q138" s="549"/>
      <c r="S138" s="551"/>
      <c r="T138" s="549"/>
    </row>
    <row r="139" spans="1:20" s="550" customFormat="1" ht="20.25" customHeight="1">
      <c r="A139" s="577">
        <v>5</v>
      </c>
      <c r="B139" s="1347" t="s">
        <v>699</v>
      </c>
      <c r="C139" s="1348"/>
      <c r="D139" s="1349"/>
      <c r="E139" s="578"/>
      <c r="F139" s="579"/>
      <c r="G139" s="580"/>
      <c r="H139" s="581"/>
      <c r="I139" s="582"/>
      <c r="J139" s="580"/>
      <c r="K139" s="544"/>
      <c r="L139" s="545">
        <f>'[3]ACTA MOD. reformulacion'!K130</f>
        <v>0</v>
      </c>
      <c r="M139" s="546">
        <v>0</v>
      </c>
      <c r="N139" s="547"/>
      <c r="O139" s="559"/>
      <c r="P139" s="549"/>
      <c r="Q139" s="549"/>
      <c r="S139" s="551"/>
      <c r="T139" s="549"/>
    </row>
    <row r="140" spans="1:20" s="550" customFormat="1" ht="17.25" customHeight="1">
      <c r="A140" s="595">
        <v>5.0999999999999996</v>
      </c>
      <c r="B140" s="1423" t="s">
        <v>507</v>
      </c>
      <c r="C140" s="1424"/>
      <c r="D140" s="1425"/>
      <c r="E140" s="593"/>
      <c r="F140" s="596"/>
      <c r="G140" s="597"/>
      <c r="H140" s="594"/>
      <c r="I140" s="598"/>
      <c r="J140" s="597"/>
      <c r="K140" s="624"/>
      <c r="L140" s="545">
        <f>'[3]ACTA MOD. reformulacion'!K131</f>
        <v>0</v>
      </c>
      <c r="M140" s="546">
        <v>0</v>
      </c>
      <c r="N140" s="547"/>
      <c r="O140" s="559"/>
      <c r="P140" s="549"/>
      <c r="Q140" s="549"/>
      <c r="S140" s="551"/>
      <c r="T140" s="549"/>
    </row>
    <row r="141" spans="1:20" s="504" customFormat="1" ht="24" customHeight="1">
      <c r="A141" s="606" t="s">
        <v>700</v>
      </c>
      <c r="B141" s="1434" t="s">
        <v>701</v>
      </c>
      <c r="C141" s="1434"/>
      <c r="D141" s="1434"/>
      <c r="E141" s="625" t="s">
        <v>162</v>
      </c>
      <c r="F141" s="619">
        <v>15.2</v>
      </c>
      <c r="G141" s="620">
        <v>47569</v>
      </c>
      <c r="H141" s="626">
        <f>+ROUND(F141*G141,0)</f>
        <v>723049</v>
      </c>
      <c r="I141" s="621">
        <v>15.2</v>
      </c>
      <c r="J141" s="620">
        <v>47565</v>
      </c>
      <c r="K141" s="544">
        <f>+I141*J141</f>
        <v>722988</v>
      </c>
      <c r="L141" s="545">
        <f>'[3]ACTA MOD. reformulacion'!K132</f>
        <v>0</v>
      </c>
      <c r="M141" s="546">
        <v>47565</v>
      </c>
      <c r="N141" s="544">
        <f>ROUND(+L141*M141,0)</f>
        <v>0</v>
      </c>
      <c r="O141" s="559" t="s">
        <v>702</v>
      </c>
    </row>
    <row r="142" spans="1:20" s="550" customFormat="1" ht="24.75" customHeight="1">
      <c r="A142" s="552" t="s">
        <v>703</v>
      </c>
      <c r="B142" s="1350" t="s">
        <v>704</v>
      </c>
      <c r="C142" s="1351"/>
      <c r="D142" s="1352"/>
      <c r="E142" s="553" t="s">
        <v>480</v>
      </c>
      <c r="F142" s="554">
        <v>14.32</v>
      </c>
      <c r="G142" s="555">
        <v>489829</v>
      </c>
      <c r="H142" s="556">
        <v>7014352</v>
      </c>
      <c r="I142" s="557">
        <v>14.32</v>
      </c>
      <c r="J142" s="555">
        <v>489825</v>
      </c>
      <c r="K142" s="544">
        <f>+I142*J142</f>
        <v>7014294</v>
      </c>
      <c r="L142" s="545">
        <f>'[3]ACTA MOD. reformulacion'!K133</f>
        <v>6.9705000000000004</v>
      </c>
      <c r="M142" s="546">
        <v>489825</v>
      </c>
      <c r="N142" s="544">
        <f>ROUND(+L142*M142,0)</f>
        <v>3414325</v>
      </c>
      <c r="O142" s="559" t="s">
        <v>705</v>
      </c>
      <c r="P142" s="567">
        <f>14.32-6.97</f>
        <v>7.3500000000000005</v>
      </c>
      <c r="Q142" s="549"/>
      <c r="S142" s="551"/>
      <c r="T142" s="549"/>
    </row>
    <row r="143" spans="1:20" s="550" customFormat="1" ht="24" customHeight="1">
      <c r="A143" s="552" t="s">
        <v>706</v>
      </c>
      <c r="B143" s="1350" t="s">
        <v>521</v>
      </c>
      <c r="C143" s="1351"/>
      <c r="D143" s="1352"/>
      <c r="E143" s="553" t="s">
        <v>522</v>
      </c>
      <c r="F143" s="554">
        <v>200</v>
      </c>
      <c r="G143" s="555">
        <v>4040</v>
      </c>
      <c r="H143" s="556">
        <f>+ROUND(F143*G143,0)</f>
        <v>808000</v>
      </c>
      <c r="I143" s="557">
        <v>200</v>
      </c>
      <c r="J143" s="555">
        <v>4040</v>
      </c>
      <c r="K143" s="544">
        <f>+I143*J143</f>
        <v>808000</v>
      </c>
      <c r="L143" s="545">
        <f>'[3]ACTA MOD. reformulacion'!K134</f>
        <v>1087.5319999999999</v>
      </c>
      <c r="M143" s="546">
        <v>4040</v>
      </c>
      <c r="N143" s="544">
        <f>ROUND(+L143*M143,0)</f>
        <v>4393629</v>
      </c>
      <c r="O143" s="559" t="s">
        <v>707</v>
      </c>
      <c r="P143" s="567">
        <f>1087.53-200</f>
        <v>887.53</v>
      </c>
      <c r="Q143" s="549"/>
      <c r="S143" s="551"/>
      <c r="T143" s="549"/>
    </row>
    <row r="144" spans="1:20" s="550" customFormat="1" ht="15.75" customHeight="1">
      <c r="A144" s="1427"/>
      <c r="B144" s="1428"/>
      <c r="C144" s="1428"/>
      <c r="D144" s="1429"/>
      <c r="E144" s="593"/>
      <c r="F144" s="1419" t="s">
        <v>644</v>
      </c>
      <c r="G144" s="1415"/>
      <c r="H144" s="594">
        <f>+SUM(H141:H143)</f>
        <v>8545401</v>
      </c>
      <c r="I144" s="1414" t="s">
        <v>644</v>
      </c>
      <c r="J144" s="1415"/>
      <c r="K144" s="594">
        <f>+K141+K142+K143</f>
        <v>8545282</v>
      </c>
      <c r="L144" s="545">
        <f>'[3]ACTA MOD. reformulacion'!K135</f>
        <v>0</v>
      </c>
      <c r="M144" s="546">
        <v>0</v>
      </c>
      <c r="N144" s="594">
        <f>SUM(N141:N143)</f>
        <v>7807954</v>
      </c>
      <c r="O144" s="559"/>
      <c r="P144" s="549"/>
      <c r="Q144" s="549"/>
      <c r="S144" s="551"/>
      <c r="T144" s="549"/>
    </row>
    <row r="145" spans="1:20" s="550" customFormat="1" ht="17.25" customHeight="1">
      <c r="A145" s="595">
        <v>5.2</v>
      </c>
      <c r="B145" s="1423" t="s">
        <v>674</v>
      </c>
      <c r="C145" s="1424"/>
      <c r="D145" s="1425"/>
      <c r="E145" s="593"/>
      <c r="F145" s="596"/>
      <c r="G145" s="597"/>
      <c r="H145" s="594"/>
      <c r="I145" s="598"/>
      <c r="J145" s="597"/>
      <c r="K145" s="594"/>
      <c r="L145" s="545">
        <f>'[3]ACTA MOD. reformulacion'!K136</f>
        <v>0</v>
      </c>
      <c r="M145" s="546">
        <v>0</v>
      </c>
      <c r="N145" s="547"/>
      <c r="O145" s="559"/>
      <c r="P145" s="549"/>
      <c r="Q145" s="549"/>
      <c r="S145" s="551"/>
      <c r="T145" s="549"/>
    </row>
    <row r="146" spans="1:20" s="550" customFormat="1" ht="27" customHeight="1">
      <c r="A146" s="552" t="s">
        <v>708</v>
      </c>
      <c r="B146" s="1350" t="s">
        <v>709</v>
      </c>
      <c r="C146" s="1351"/>
      <c r="D146" s="1352"/>
      <c r="E146" s="553" t="s">
        <v>571</v>
      </c>
      <c r="F146" s="554">
        <v>5</v>
      </c>
      <c r="G146" s="555">
        <v>90242</v>
      </c>
      <c r="H146" s="556">
        <f>+ROUND(F146*G146,0)</f>
        <v>451210</v>
      </c>
      <c r="I146" s="557">
        <v>5</v>
      </c>
      <c r="J146" s="555">
        <v>90240</v>
      </c>
      <c r="K146" s="558">
        <f>+ROUND(I146*J146,0)</f>
        <v>451200</v>
      </c>
      <c r="L146" s="545">
        <f>'[3]ACTA MOD. reformulacion'!K137</f>
        <v>15</v>
      </c>
      <c r="M146" s="546">
        <v>90240</v>
      </c>
      <c r="N146" s="547">
        <f>ROUND(+L146*M146,0)</f>
        <v>1353600</v>
      </c>
      <c r="O146" s="559" t="s">
        <v>710</v>
      </c>
      <c r="P146" s="549"/>
      <c r="Q146" s="549"/>
      <c r="S146" s="551"/>
      <c r="T146" s="549"/>
    </row>
    <row r="147" spans="1:20" s="571" customFormat="1" ht="15.75" customHeight="1">
      <c r="A147" s="1427"/>
      <c r="B147" s="1428"/>
      <c r="C147" s="1428"/>
      <c r="D147" s="1429"/>
      <c r="E147" s="593"/>
      <c r="F147" s="1419" t="s">
        <v>681</v>
      </c>
      <c r="G147" s="1415"/>
      <c r="H147" s="594">
        <f>+H146</f>
        <v>451210</v>
      </c>
      <c r="I147" s="1414" t="s">
        <v>681</v>
      </c>
      <c r="J147" s="1415"/>
      <c r="K147" s="594">
        <f>+K146</f>
        <v>451200</v>
      </c>
      <c r="L147" s="545">
        <f>'[3]ACTA MOD. reformulacion'!K138</f>
        <v>0</v>
      </c>
      <c r="M147" s="546">
        <v>0</v>
      </c>
      <c r="N147" s="594">
        <f>SUM(N146)</f>
        <v>1353600</v>
      </c>
      <c r="O147" s="559"/>
      <c r="P147" s="549"/>
      <c r="Q147" s="549"/>
      <c r="S147" s="551"/>
      <c r="T147" s="549"/>
    </row>
    <row r="148" spans="1:20" s="550" customFormat="1" ht="17.25" customHeight="1">
      <c r="A148" s="595">
        <v>5.3</v>
      </c>
      <c r="B148" s="1423" t="s">
        <v>711</v>
      </c>
      <c r="C148" s="1424"/>
      <c r="D148" s="1425"/>
      <c r="E148" s="593"/>
      <c r="F148" s="596"/>
      <c r="G148" s="597"/>
      <c r="H148" s="594"/>
      <c r="I148" s="598"/>
      <c r="J148" s="597"/>
      <c r="K148" s="594"/>
      <c r="L148" s="545">
        <f>'[3]ACTA MOD. reformulacion'!K139</f>
        <v>0</v>
      </c>
      <c r="M148" s="546">
        <v>0</v>
      </c>
      <c r="N148" s="547"/>
      <c r="O148" s="559"/>
      <c r="P148" s="549"/>
      <c r="Q148" s="549"/>
      <c r="S148" s="551"/>
      <c r="T148" s="549"/>
    </row>
    <row r="149" spans="1:20" s="550" customFormat="1" ht="24" customHeight="1">
      <c r="A149" s="552" t="s">
        <v>712</v>
      </c>
      <c r="B149" s="1350" t="s">
        <v>713</v>
      </c>
      <c r="C149" s="1351"/>
      <c r="D149" s="1352"/>
      <c r="E149" s="553" t="s">
        <v>165</v>
      </c>
      <c r="F149" s="554">
        <v>1.8</v>
      </c>
      <c r="G149" s="555">
        <v>309234</v>
      </c>
      <c r="H149" s="556">
        <v>556622</v>
      </c>
      <c r="I149" s="557">
        <v>1.8</v>
      </c>
      <c r="J149" s="555">
        <v>309230</v>
      </c>
      <c r="K149" s="558">
        <f>+ROUND(I149*J149,0)</f>
        <v>556614</v>
      </c>
      <c r="L149" s="545">
        <f>'[3]ACTA MOD. reformulacion'!K140</f>
        <v>1.8</v>
      </c>
      <c r="M149" s="546">
        <v>309230</v>
      </c>
      <c r="N149" s="547">
        <f>ROUND(+L149*M149,0)</f>
        <v>556614</v>
      </c>
      <c r="O149" s="559" t="s">
        <v>714</v>
      </c>
      <c r="P149" s="549"/>
      <c r="Q149" s="549"/>
      <c r="S149" s="551"/>
      <c r="T149" s="549"/>
    </row>
    <row r="150" spans="1:20" s="550" customFormat="1" ht="25.5" customHeight="1">
      <c r="A150" s="552" t="s">
        <v>715</v>
      </c>
      <c r="B150" s="1350" t="s">
        <v>716</v>
      </c>
      <c r="C150" s="1351"/>
      <c r="D150" s="1352"/>
      <c r="E150" s="553" t="s">
        <v>165</v>
      </c>
      <c r="F150" s="554">
        <v>1.8</v>
      </c>
      <c r="G150" s="555">
        <v>399952</v>
      </c>
      <c r="H150" s="556">
        <f>+ROUND(F150*G150,0)</f>
        <v>719914</v>
      </c>
      <c r="I150" s="557">
        <v>1.8</v>
      </c>
      <c r="J150" s="555">
        <v>399950</v>
      </c>
      <c r="K150" s="558">
        <f>+ROUND(I150*J150,0)</f>
        <v>719910</v>
      </c>
      <c r="L150" s="545">
        <f>'[3]ACTA MOD. reformulacion'!K141</f>
        <v>1.8</v>
      </c>
      <c r="M150" s="546">
        <v>399950</v>
      </c>
      <c r="N150" s="547">
        <f>ROUND(+L150*M150,0)</f>
        <v>719910</v>
      </c>
      <c r="O150" s="559" t="s">
        <v>714</v>
      </c>
      <c r="P150" s="549"/>
      <c r="Q150" s="549"/>
      <c r="S150" s="551"/>
      <c r="T150" s="549"/>
    </row>
    <row r="151" spans="1:20" s="550" customFormat="1" ht="26.25" customHeight="1">
      <c r="A151" s="552" t="s">
        <v>717</v>
      </c>
      <c r="B151" s="1350" t="s">
        <v>536</v>
      </c>
      <c r="C151" s="1351"/>
      <c r="D151" s="1352"/>
      <c r="E151" s="553" t="s">
        <v>165</v>
      </c>
      <c r="F151" s="554">
        <v>4.5</v>
      </c>
      <c r="G151" s="555">
        <v>640613</v>
      </c>
      <c r="H151" s="556">
        <f>+ROUND(F151*G151,0)</f>
        <v>2882759</v>
      </c>
      <c r="I151" s="557">
        <v>4.5</v>
      </c>
      <c r="J151" s="555">
        <v>640610</v>
      </c>
      <c r="K151" s="558">
        <f>+ROUND(I151*J151,0)</f>
        <v>2882745</v>
      </c>
      <c r="L151" s="545">
        <f>'[3]ACTA MOD. reformulacion'!K142</f>
        <v>4.5</v>
      </c>
      <c r="M151" s="546">
        <v>640610</v>
      </c>
      <c r="N151" s="547">
        <f>ROUND(+L151*M151,0)</f>
        <v>2882745</v>
      </c>
      <c r="O151" s="559" t="s">
        <v>714</v>
      </c>
      <c r="P151" s="549"/>
      <c r="Q151" s="549"/>
      <c r="S151" s="551"/>
      <c r="T151" s="549"/>
    </row>
    <row r="152" spans="1:20" s="550" customFormat="1" ht="15.75" customHeight="1">
      <c r="A152" s="1427"/>
      <c r="B152" s="1428"/>
      <c r="C152" s="1428"/>
      <c r="D152" s="1430"/>
      <c r="E152" s="615"/>
      <c r="F152" s="1419" t="s">
        <v>548</v>
      </c>
      <c r="G152" s="1415"/>
      <c r="H152" s="594">
        <f>+SUM(H149:H151)</f>
        <v>4159295</v>
      </c>
      <c r="I152" s="1414" t="s">
        <v>548</v>
      </c>
      <c r="J152" s="1415"/>
      <c r="K152" s="594">
        <f>+SUM(K149:K151)</f>
        <v>4159269</v>
      </c>
      <c r="L152" s="545">
        <f>'[3]ACTA MOD. reformulacion'!K143</f>
        <v>0</v>
      </c>
      <c r="M152" s="546">
        <v>0</v>
      </c>
      <c r="N152" s="594">
        <f>SUM(N149:N151)</f>
        <v>4159269</v>
      </c>
      <c r="O152" s="559"/>
      <c r="P152" s="549"/>
      <c r="Q152" s="549"/>
      <c r="S152" s="551"/>
      <c r="T152" s="549"/>
    </row>
    <row r="153" spans="1:20" s="550" customFormat="1" ht="17.25" customHeight="1">
      <c r="A153" s="595">
        <v>5.4</v>
      </c>
      <c r="B153" s="1423" t="s">
        <v>549</v>
      </c>
      <c r="C153" s="1424"/>
      <c r="D153" s="1425"/>
      <c r="E153" s="593"/>
      <c r="F153" s="596"/>
      <c r="G153" s="597"/>
      <c r="H153" s="594"/>
      <c r="I153" s="598"/>
      <c r="J153" s="597"/>
      <c r="K153" s="594"/>
      <c r="L153" s="545">
        <f>'[3]ACTA MOD. reformulacion'!K144</f>
        <v>0</v>
      </c>
      <c r="M153" s="546">
        <v>0</v>
      </c>
      <c r="N153" s="547"/>
      <c r="O153" s="559"/>
      <c r="P153" s="549"/>
      <c r="Q153" s="549"/>
      <c r="S153" s="551"/>
      <c r="T153" s="549"/>
    </row>
    <row r="154" spans="1:20" s="550" customFormat="1" ht="24" customHeight="1">
      <c r="A154" s="552" t="s">
        <v>718</v>
      </c>
      <c r="B154" s="1350" t="s">
        <v>557</v>
      </c>
      <c r="C154" s="1351"/>
      <c r="D154" s="1352"/>
      <c r="E154" s="553" t="s">
        <v>558</v>
      </c>
      <c r="F154" s="554">
        <v>3</v>
      </c>
      <c r="G154" s="555">
        <v>14917</v>
      </c>
      <c r="H154" s="556">
        <f>+ROUND(F154*G154,0)</f>
        <v>44751</v>
      </c>
      <c r="I154" s="557">
        <v>3</v>
      </c>
      <c r="J154" s="555">
        <v>14915</v>
      </c>
      <c r="K154" s="558">
        <f>+ROUND(I154*J154,0)</f>
        <v>44745</v>
      </c>
      <c r="L154" s="545">
        <f>'[3]ACTA MOD. reformulacion'!K145</f>
        <v>0</v>
      </c>
      <c r="M154" s="546">
        <v>14915</v>
      </c>
      <c r="N154" s="547">
        <f>ROUND(+L154*M154,0)</f>
        <v>0</v>
      </c>
      <c r="O154" s="559" t="s">
        <v>719</v>
      </c>
      <c r="P154" s="549"/>
      <c r="Q154" s="549"/>
      <c r="S154" s="551"/>
      <c r="T154" s="549"/>
    </row>
    <row r="155" spans="1:20" s="550" customFormat="1" ht="60" customHeight="1">
      <c r="A155" s="552" t="s">
        <v>720</v>
      </c>
      <c r="B155" s="1350" t="s">
        <v>564</v>
      </c>
      <c r="C155" s="1351"/>
      <c r="D155" s="1352"/>
      <c r="E155" s="553" t="s">
        <v>162</v>
      </c>
      <c r="F155" s="554">
        <v>32.6</v>
      </c>
      <c r="G155" s="555">
        <v>23817</v>
      </c>
      <c r="H155" s="556">
        <v>776435</v>
      </c>
      <c r="I155" s="557">
        <v>32.6</v>
      </c>
      <c r="J155" s="555">
        <v>23815</v>
      </c>
      <c r="K155" s="558">
        <f>+ROUND(I155*J155,0)</f>
        <v>776369</v>
      </c>
      <c r="L155" s="545">
        <f>'[3]ACTA MOD. reformulacion'!K146</f>
        <v>143.6</v>
      </c>
      <c r="M155" s="546">
        <v>23815</v>
      </c>
      <c r="N155" s="547">
        <f>ROUND(+L155*M155,0)</f>
        <v>3419834</v>
      </c>
      <c r="O155" s="559" t="s">
        <v>721</v>
      </c>
      <c r="P155" s="549"/>
      <c r="Q155" s="549"/>
      <c r="S155" s="551"/>
      <c r="T155" s="549"/>
    </row>
    <row r="156" spans="1:20" s="550" customFormat="1" ht="36" customHeight="1">
      <c r="A156" s="552" t="s">
        <v>722</v>
      </c>
      <c r="B156" s="1350" t="s">
        <v>570</v>
      </c>
      <c r="C156" s="1351"/>
      <c r="D156" s="1352"/>
      <c r="E156" s="553" t="s">
        <v>571</v>
      </c>
      <c r="F156" s="554">
        <v>1</v>
      </c>
      <c r="G156" s="555">
        <v>13556</v>
      </c>
      <c r="H156" s="556">
        <f>+ROUND(F156*G156,0)</f>
        <v>13556</v>
      </c>
      <c r="I156" s="557">
        <v>1</v>
      </c>
      <c r="J156" s="555">
        <v>13555</v>
      </c>
      <c r="K156" s="558">
        <f>+ROUND(I156*J156,0)</f>
        <v>13555</v>
      </c>
      <c r="L156" s="565">
        <f>'[3]ACTA MOD. reformulacion'!K147</f>
        <v>2</v>
      </c>
      <c r="M156" s="546">
        <v>13555</v>
      </c>
      <c r="N156" s="547">
        <f>ROUND(+L156*M156,0)</f>
        <v>27110</v>
      </c>
      <c r="O156" s="559" t="s">
        <v>723</v>
      </c>
      <c r="P156" s="549"/>
      <c r="Q156" s="549">
        <f>2*13555</f>
        <v>27110</v>
      </c>
      <c r="S156" s="551"/>
      <c r="T156" s="549"/>
    </row>
    <row r="157" spans="1:20" s="550" customFormat="1" ht="27" customHeight="1">
      <c r="A157" s="552" t="s">
        <v>724</v>
      </c>
      <c r="B157" s="1350" t="s">
        <v>574</v>
      </c>
      <c r="C157" s="1351"/>
      <c r="D157" s="1352"/>
      <c r="E157" s="553" t="s">
        <v>571</v>
      </c>
      <c r="F157" s="554">
        <v>3</v>
      </c>
      <c r="G157" s="555">
        <v>14335</v>
      </c>
      <c r="H157" s="556">
        <f>+ROUND(F157*G157,0)</f>
        <v>43005</v>
      </c>
      <c r="I157" s="557">
        <v>3</v>
      </c>
      <c r="J157" s="555">
        <v>14335</v>
      </c>
      <c r="K157" s="558">
        <f>+ROUND(I157*J157,0)</f>
        <v>43005</v>
      </c>
      <c r="L157" s="565">
        <f>'[3]ACTA MOD. reformulacion'!K148</f>
        <v>3</v>
      </c>
      <c r="M157" s="546">
        <v>14335</v>
      </c>
      <c r="N157" s="547">
        <f>ROUND(+L157*M157,0)</f>
        <v>43005</v>
      </c>
      <c r="O157" s="559" t="s">
        <v>725</v>
      </c>
      <c r="P157" s="549"/>
      <c r="Q157" s="549">
        <f>3*14335</f>
        <v>43005</v>
      </c>
      <c r="S157" s="551"/>
      <c r="T157" s="549"/>
    </row>
    <row r="158" spans="1:20" s="550" customFormat="1" ht="15.75" customHeight="1">
      <c r="A158" s="1427"/>
      <c r="B158" s="1428"/>
      <c r="C158" s="1428"/>
      <c r="D158" s="1429"/>
      <c r="E158" s="593"/>
      <c r="F158" s="1419" t="s">
        <v>576</v>
      </c>
      <c r="G158" s="1415"/>
      <c r="H158" s="594">
        <f>+SUM(H154:H157)</f>
        <v>877747</v>
      </c>
      <c r="I158" s="1414" t="s">
        <v>576</v>
      </c>
      <c r="J158" s="1415"/>
      <c r="K158" s="594">
        <f>+SUM(K154:K157)</f>
        <v>877674</v>
      </c>
      <c r="L158" s="545">
        <f>'[3]ACTA MOD. reformulacion'!K149</f>
        <v>0</v>
      </c>
      <c r="M158" s="546">
        <v>0</v>
      </c>
      <c r="N158" s="594">
        <f>SUM(N154:N157)</f>
        <v>3489949</v>
      </c>
      <c r="O158" s="559"/>
      <c r="P158" s="549"/>
      <c r="Q158" s="549"/>
      <c r="S158" s="551"/>
      <c r="T158" s="549"/>
    </row>
    <row r="159" spans="1:20" s="550" customFormat="1" ht="17.25" customHeight="1">
      <c r="A159" s="595">
        <v>5.5</v>
      </c>
      <c r="B159" s="1423" t="s">
        <v>578</v>
      </c>
      <c r="C159" s="1424"/>
      <c r="D159" s="1425"/>
      <c r="E159" s="593"/>
      <c r="F159" s="596"/>
      <c r="G159" s="597"/>
      <c r="H159" s="594"/>
      <c r="I159" s="598"/>
      <c r="J159" s="597"/>
      <c r="K159" s="627"/>
      <c r="L159" s="545">
        <f>'[3]ACTA MOD. reformulacion'!K150</f>
        <v>0</v>
      </c>
      <c r="M159" s="546"/>
      <c r="N159" s="547"/>
      <c r="O159" s="559"/>
      <c r="P159" s="549"/>
      <c r="Q159" s="549"/>
      <c r="S159" s="551"/>
      <c r="T159" s="549"/>
    </row>
    <row r="160" spans="1:20" s="550" customFormat="1" ht="26.25" customHeight="1">
      <c r="A160" s="552" t="s">
        <v>726</v>
      </c>
      <c r="B160" s="1350" t="s">
        <v>727</v>
      </c>
      <c r="C160" s="1351"/>
      <c r="D160" s="1352"/>
      <c r="E160" s="553" t="s">
        <v>558</v>
      </c>
      <c r="F160" s="554">
        <v>2</v>
      </c>
      <c r="G160" s="555">
        <v>373132</v>
      </c>
      <c r="H160" s="556">
        <f>+ROUND(F160*G160,0)</f>
        <v>746264</v>
      </c>
      <c r="I160" s="557">
        <v>2</v>
      </c>
      <c r="J160" s="555">
        <v>373130</v>
      </c>
      <c r="K160" s="558">
        <f>+ROUND(I160*J160,0)</f>
        <v>746260</v>
      </c>
      <c r="L160" s="545">
        <f>'[3]ACTA MOD. reformulacion'!K151</f>
        <v>0</v>
      </c>
      <c r="M160" s="546">
        <v>373130</v>
      </c>
      <c r="N160" s="547">
        <f>+ROUND(L160*G160,0)</f>
        <v>0</v>
      </c>
      <c r="O160" s="559" t="s">
        <v>728</v>
      </c>
      <c r="P160" s="549"/>
      <c r="Q160" s="549"/>
      <c r="S160" s="551"/>
      <c r="T160" s="549"/>
    </row>
    <row r="161" spans="1:20" s="550" customFormat="1" ht="15.75" customHeight="1">
      <c r="A161" s="1427"/>
      <c r="B161" s="1428"/>
      <c r="C161" s="1428"/>
      <c r="D161" s="1429"/>
      <c r="E161" s="593"/>
      <c r="F161" s="1419" t="s">
        <v>591</v>
      </c>
      <c r="G161" s="1415"/>
      <c r="H161" s="594">
        <f>+H160</f>
        <v>746264</v>
      </c>
      <c r="I161" s="1414" t="s">
        <v>591</v>
      </c>
      <c r="J161" s="1415"/>
      <c r="K161" s="594">
        <f>+K160</f>
        <v>746260</v>
      </c>
      <c r="L161" s="545">
        <f>'[3]ACTA MOD. reformulacion'!K152</f>
        <v>0</v>
      </c>
      <c r="M161" s="546"/>
      <c r="N161" s="594">
        <f>SUM(N160)</f>
        <v>0</v>
      </c>
      <c r="O161" s="559"/>
      <c r="P161" s="549"/>
      <c r="Q161" s="549"/>
      <c r="S161" s="551"/>
      <c r="T161" s="549"/>
    </row>
    <row r="162" spans="1:20" s="550" customFormat="1" ht="17.25" customHeight="1">
      <c r="A162" s="595">
        <v>5.6</v>
      </c>
      <c r="B162" s="1423" t="s">
        <v>690</v>
      </c>
      <c r="C162" s="1424"/>
      <c r="D162" s="1425"/>
      <c r="E162" s="593"/>
      <c r="F162" s="596"/>
      <c r="G162" s="597"/>
      <c r="H162" s="594"/>
      <c r="I162" s="598"/>
      <c r="J162" s="597"/>
      <c r="K162" s="594"/>
      <c r="L162" s="545">
        <f>'[3]ACTA MOD. reformulacion'!K153</f>
        <v>0</v>
      </c>
      <c r="M162" s="546">
        <v>0</v>
      </c>
      <c r="N162" s="547"/>
      <c r="O162" s="559"/>
      <c r="P162" s="549"/>
      <c r="Q162" s="549"/>
      <c r="S162" s="551"/>
      <c r="T162" s="549"/>
    </row>
    <row r="163" spans="1:20" s="550" customFormat="1" ht="28.5" customHeight="1">
      <c r="A163" s="552" t="s">
        <v>729</v>
      </c>
      <c r="B163" s="1350" t="s">
        <v>692</v>
      </c>
      <c r="C163" s="1351"/>
      <c r="D163" s="1352"/>
      <c r="E163" s="553" t="s">
        <v>163</v>
      </c>
      <c r="F163" s="554">
        <v>43.07</v>
      </c>
      <c r="G163" s="555">
        <v>25358</v>
      </c>
      <c r="H163" s="556">
        <v>1092170</v>
      </c>
      <c r="I163" s="557">
        <v>43.07</v>
      </c>
      <c r="J163" s="555">
        <v>25355</v>
      </c>
      <c r="K163" s="558">
        <f>+ROUND(I163*J163,0)</f>
        <v>1092040</v>
      </c>
      <c r="L163" s="545">
        <f>'[3]ACTA MOD. reformulacion'!K154</f>
        <v>53.8752</v>
      </c>
      <c r="M163" s="546">
        <v>25355</v>
      </c>
      <c r="N163" s="547">
        <f>ROUND(+L163*M163,0)</f>
        <v>1366006</v>
      </c>
      <c r="O163" s="559" t="s">
        <v>730</v>
      </c>
      <c r="P163" s="567">
        <f>53.88-43.07</f>
        <v>10.810000000000002</v>
      </c>
      <c r="Q163" s="549"/>
      <c r="S163" s="551"/>
      <c r="T163" s="549"/>
    </row>
    <row r="164" spans="1:20" s="550" customFormat="1" ht="26.25" customHeight="1">
      <c r="A164" s="1427"/>
      <c r="B164" s="1428"/>
      <c r="C164" s="1428"/>
      <c r="D164" s="1429"/>
      <c r="E164" s="593"/>
      <c r="F164" s="1419" t="s">
        <v>697</v>
      </c>
      <c r="G164" s="1415"/>
      <c r="H164" s="594">
        <f>+H163</f>
        <v>1092170</v>
      </c>
      <c r="I164" s="1414" t="s">
        <v>697</v>
      </c>
      <c r="J164" s="1415"/>
      <c r="K164" s="594">
        <f>+K163</f>
        <v>1092040</v>
      </c>
      <c r="L164" s="545">
        <f>'[3]ACTA MOD. reformulacion'!K155</f>
        <v>0</v>
      </c>
      <c r="M164" s="546"/>
      <c r="N164" s="594">
        <f>SUM(N163)</f>
        <v>1366006</v>
      </c>
      <c r="O164" s="559"/>
      <c r="P164" s="549"/>
      <c r="Q164" s="549"/>
      <c r="S164" s="551"/>
      <c r="T164" s="549"/>
    </row>
    <row r="165" spans="1:20" s="550" customFormat="1">
      <c r="A165" s="628"/>
      <c r="B165" s="629" t="s">
        <v>731</v>
      </c>
      <c r="C165" s="630"/>
      <c r="D165" s="630"/>
      <c r="E165" s="630"/>
      <c r="F165" s="631"/>
      <c r="G165" s="632"/>
      <c r="H165" s="611">
        <f>+SUM(H144+H147+H152+H158+H161+H164)</f>
        <v>15872087</v>
      </c>
      <c r="I165" s="633"/>
      <c r="J165" s="632"/>
      <c r="K165" s="611">
        <f>+K144+K147+K152+K158+K161+K164</f>
        <v>15871725</v>
      </c>
      <c r="L165" s="545">
        <f>'[3]ACTA MOD. reformulacion'!K156</f>
        <v>0</v>
      </c>
      <c r="M165" s="546"/>
      <c r="N165" s="611">
        <f>SUM(N164,N161,N158,N152,N147,N144)</f>
        <v>18176778</v>
      </c>
      <c r="O165" s="559"/>
      <c r="P165" s="549"/>
      <c r="Q165" s="549"/>
      <c r="S165" s="551"/>
      <c r="T165" s="549"/>
    </row>
    <row r="166" spans="1:20" s="550" customFormat="1" ht="20.25" customHeight="1">
      <c r="A166" s="577">
        <v>6</v>
      </c>
      <c r="B166" s="1347" t="s">
        <v>732</v>
      </c>
      <c r="C166" s="1348"/>
      <c r="D166" s="1349"/>
      <c r="E166" s="578"/>
      <c r="F166" s="579"/>
      <c r="G166" s="580"/>
      <c r="H166" s="581"/>
      <c r="I166" s="582"/>
      <c r="J166" s="580"/>
      <c r="K166" s="544"/>
      <c r="L166" s="545">
        <f>'[3]ACTA MOD. reformulacion'!K157</f>
        <v>0</v>
      </c>
      <c r="M166" s="546"/>
      <c r="N166" s="547"/>
      <c r="O166" s="559"/>
      <c r="P166" s="549"/>
      <c r="Q166" s="549"/>
      <c r="S166" s="551"/>
      <c r="T166" s="549"/>
    </row>
    <row r="167" spans="1:20" s="550" customFormat="1" ht="17.25" customHeight="1">
      <c r="A167" s="595">
        <v>6.1</v>
      </c>
      <c r="B167" s="1423" t="s">
        <v>733</v>
      </c>
      <c r="C167" s="1424"/>
      <c r="D167" s="1425"/>
      <c r="E167" s="593"/>
      <c r="F167" s="596"/>
      <c r="G167" s="597"/>
      <c r="H167" s="594"/>
      <c r="I167" s="598"/>
      <c r="J167" s="597"/>
      <c r="K167" s="594"/>
      <c r="L167" s="545">
        <f>'[3]ACTA MOD. reformulacion'!K158</f>
        <v>0</v>
      </c>
      <c r="M167" s="546"/>
      <c r="N167" s="547"/>
      <c r="O167" s="559"/>
      <c r="P167" s="549"/>
      <c r="Q167" s="549"/>
      <c r="S167" s="551"/>
      <c r="T167" s="549"/>
    </row>
    <row r="168" spans="1:20" s="550" customFormat="1" ht="22.5" customHeight="1">
      <c r="A168" s="634" t="s">
        <v>734</v>
      </c>
      <c r="B168" s="1431" t="s">
        <v>688</v>
      </c>
      <c r="C168" s="1432"/>
      <c r="D168" s="1433"/>
      <c r="E168" s="583" t="s">
        <v>163</v>
      </c>
      <c r="F168" s="554">
        <v>55.83</v>
      </c>
      <c r="G168" s="555">
        <v>31228</v>
      </c>
      <c r="H168" s="556">
        <v>1743460</v>
      </c>
      <c r="I168" s="557">
        <v>55.83</v>
      </c>
      <c r="J168" s="555">
        <v>31225</v>
      </c>
      <c r="K168" s="558">
        <f>+ROUND(I168*J168,0)</f>
        <v>1743292</v>
      </c>
      <c r="L168" s="565">
        <f>'[3]ACTA MOD. reformulacion'!K159</f>
        <v>85.009999999999991</v>
      </c>
      <c r="M168" s="546">
        <v>31225</v>
      </c>
      <c r="N168" s="547">
        <f t="shared" ref="N168:N175" si="13">ROUND(+L168*M168,0)</f>
        <v>2654437</v>
      </c>
      <c r="O168" s="559" t="s">
        <v>735</v>
      </c>
      <c r="P168" s="567">
        <f>85.01-55.83</f>
        <v>29.180000000000007</v>
      </c>
      <c r="Q168" s="549">
        <f>85.01*31225</f>
        <v>2654437.25</v>
      </c>
      <c r="S168" s="551"/>
      <c r="T168" s="549"/>
    </row>
    <row r="169" spans="1:20" s="550" customFormat="1" ht="30" customHeight="1">
      <c r="A169" s="552" t="s">
        <v>736</v>
      </c>
      <c r="B169" s="1350" t="s">
        <v>737</v>
      </c>
      <c r="C169" s="1351"/>
      <c r="D169" s="1352"/>
      <c r="E169" s="553" t="s">
        <v>163</v>
      </c>
      <c r="F169" s="554">
        <v>142.4</v>
      </c>
      <c r="G169" s="555">
        <v>11019</v>
      </c>
      <c r="H169" s="556">
        <f t="shared" ref="H169:H175" si="14">+ROUND(F169*G169,0)</f>
        <v>1569106</v>
      </c>
      <c r="I169" s="557">
        <v>142.4</v>
      </c>
      <c r="J169" s="555">
        <v>11015</v>
      </c>
      <c r="K169" s="558">
        <f t="shared" ref="K169:K175" si="15">+ROUND(I169*J169,0)</f>
        <v>1568536</v>
      </c>
      <c r="L169" s="545">
        <f>'[3]ACTA MOD. reformulacion'!K160</f>
        <v>212.98000000000002</v>
      </c>
      <c r="M169" s="546">
        <v>11015</v>
      </c>
      <c r="N169" s="547">
        <f t="shared" si="13"/>
        <v>2345975</v>
      </c>
      <c r="O169" s="559" t="s">
        <v>738</v>
      </c>
      <c r="P169" s="567">
        <f>212.98-142.4</f>
        <v>70.579999999999984</v>
      </c>
      <c r="Q169" s="549"/>
      <c r="S169" s="551"/>
      <c r="T169" s="549"/>
    </row>
    <row r="170" spans="1:20" s="550" customFormat="1" ht="36.75" customHeight="1">
      <c r="A170" s="552" t="s">
        <v>739</v>
      </c>
      <c r="B170" s="1350" t="s">
        <v>740</v>
      </c>
      <c r="C170" s="1351"/>
      <c r="D170" s="1352"/>
      <c r="E170" s="553" t="s">
        <v>165</v>
      </c>
      <c r="F170" s="554">
        <v>5.5</v>
      </c>
      <c r="G170" s="555">
        <v>489829</v>
      </c>
      <c r="H170" s="556">
        <f t="shared" si="14"/>
        <v>2694060</v>
      </c>
      <c r="I170" s="557">
        <v>5.5</v>
      </c>
      <c r="J170" s="555">
        <v>489825</v>
      </c>
      <c r="K170" s="558">
        <f t="shared" si="15"/>
        <v>2694038</v>
      </c>
      <c r="L170" s="565">
        <f>'[3]ACTA MOD. reformulacion'!K161</f>
        <v>15.39</v>
      </c>
      <c r="M170" s="546">
        <v>489825</v>
      </c>
      <c r="N170" s="547">
        <f t="shared" si="13"/>
        <v>7538407</v>
      </c>
      <c r="O170" s="559" t="s">
        <v>741</v>
      </c>
      <c r="P170" s="567">
        <f>15.39-5.5</f>
        <v>9.89</v>
      </c>
      <c r="Q170" s="549">
        <f>15.39*489825</f>
        <v>7538406.75</v>
      </c>
      <c r="S170" s="551"/>
      <c r="T170" s="549"/>
    </row>
    <row r="171" spans="1:20" s="550" customFormat="1" ht="39.75" customHeight="1">
      <c r="A171" s="552" t="s">
        <v>742</v>
      </c>
      <c r="B171" s="1350" t="s">
        <v>659</v>
      </c>
      <c r="C171" s="1351"/>
      <c r="D171" s="1352"/>
      <c r="E171" s="553" t="s">
        <v>162</v>
      </c>
      <c r="F171" s="554">
        <v>33.1</v>
      </c>
      <c r="G171" s="555">
        <v>66303</v>
      </c>
      <c r="H171" s="556">
        <v>2194630</v>
      </c>
      <c r="I171" s="557">
        <v>33.1</v>
      </c>
      <c r="J171" s="555">
        <v>66300</v>
      </c>
      <c r="K171" s="558">
        <f t="shared" si="15"/>
        <v>2194530</v>
      </c>
      <c r="L171" s="545">
        <f>'[3]ACTA MOD. reformulacion'!K162</f>
        <v>40.1</v>
      </c>
      <c r="M171" s="546">
        <v>66300</v>
      </c>
      <c r="N171" s="547">
        <f t="shared" si="13"/>
        <v>2658630</v>
      </c>
      <c r="O171" s="559" t="s">
        <v>743</v>
      </c>
      <c r="P171" s="567">
        <f>40.1-33.1</f>
        <v>7</v>
      </c>
      <c r="Q171" s="549"/>
      <c r="S171" s="551"/>
      <c r="T171" s="549"/>
    </row>
    <row r="172" spans="1:20" s="550" customFormat="1" ht="26.25" customHeight="1">
      <c r="A172" s="552" t="s">
        <v>744</v>
      </c>
      <c r="B172" s="1350" t="s">
        <v>662</v>
      </c>
      <c r="C172" s="1351"/>
      <c r="D172" s="1352"/>
      <c r="E172" s="553" t="s">
        <v>162</v>
      </c>
      <c r="F172" s="554">
        <v>35.4</v>
      </c>
      <c r="G172" s="555">
        <v>58840</v>
      </c>
      <c r="H172" s="556">
        <f t="shared" si="14"/>
        <v>2082936</v>
      </c>
      <c r="I172" s="557">
        <v>35.4</v>
      </c>
      <c r="J172" s="555">
        <v>58840</v>
      </c>
      <c r="K172" s="558">
        <f t="shared" si="15"/>
        <v>2082936</v>
      </c>
      <c r="L172" s="545">
        <f>'[3]ACTA MOD. reformulacion'!K163</f>
        <v>85.740000000000009</v>
      </c>
      <c r="M172" s="546">
        <v>58840</v>
      </c>
      <c r="N172" s="547">
        <f t="shared" si="13"/>
        <v>5044942</v>
      </c>
      <c r="O172" s="559" t="s">
        <v>745</v>
      </c>
      <c r="P172" s="567">
        <f>85.74-35.4</f>
        <v>50.339999999999996</v>
      </c>
      <c r="Q172" s="549"/>
      <c r="S172" s="551"/>
      <c r="T172" s="549"/>
    </row>
    <row r="173" spans="1:20" s="550" customFormat="1" ht="16.5" customHeight="1">
      <c r="A173" s="552" t="s">
        <v>746</v>
      </c>
      <c r="B173" s="1350" t="s">
        <v>668</v>
      </c>
      <c r="C173" s="1351"/>
      <c r="D173" s="1352"/>
      <c r="E173" s="553" t="s">
        <v>163</v>
      </c>
      <c r="F173" s="554">
        <v>65.25</v>
      </c>
      <c r="G173" s="555">
        <v>35354</v>
      </c>
      <c r="H173" s="556">
        <f t="shared" si="14"/>
        <v>2306849</v>
      </c>
      <c r="I173" s="557">
        <v>65.25</v>
      </c>
      <c r="J173" s="555">
        <v>35350</v>
      </c>
      <c r="K173" s="558">
        <f t="shared" si="15"/>
        <v>2306588</v>
      </c>
      <c r="L173" s="565">
        <f>'[3]ACTA MOD. reformulacion'!K164</f>
        <v>106.46</v>
      </c>
      <c r="M173" s="546">
        <v>35350</v>
      </c>
      <c r="N173" s="547">
        <f t="shared" si="13"/>
        <v>3763361</v>
      </c>
      <c r="O173" s="559" t="s">
        <v>747</v>
      </c>
      <c r="P173" s="567">
        <f>106.46-65.25</f>
        <v>41.209999999999994</v>
      </c>
      <c r="Q173" s="549">
        <f>106.46*35350</f>
        <v>3763361</v>
      </c>
      <c r="S173" s="551"/>
      <c r="T173" s="549"/>
    </row>
    <row r="174" spans="1:20" s="550" customFormat="1" ht="37.5" customHeight="1">
      <c r="A174" s="552" t="s">
        <v>748</v>
      </c>
      <c r="B174" s="1350" t="s">
        <v>749</v>
      </c>
      <c r="C174" s="1351"/>
      <c r="D174" s="1352"/>
      <c r="E174" s="553" t="s">
        <v>571</v>
      </c>
      <c r="F174" s="554">
        <v>1</v>
      </c>
      <c r="G174" s="555">
        <v>387072</v>
      </c>
      <c r="H174" s="556">
        <f t="shared" si="14"/>
        <v>387072</v>
      </c>
      <c r="I174" s="557">
        <v>1</v>
      </c>
      <c r="J174" s="555">
        <v>387070</v>
      </c>
      <c r="K174" s="558">
        <f t="shared" si="15"/>
        <v>387070</v>
      </c>
      <c r="L174" s="545">
        <f>'[3]ACTA MOD. reformulacion'!K165</f>
        <v>1</v>
      </c>
      <c r="M174" s="546">
        <v>387070</v>
      </c>
      <c r="N174" s="547">
        <f t="shared" si="13"/>
        <v>387070</v>
      </c>
      <c r="O174" s="559" t="s">
        <v>750</v>
      </c>
      <c r="P174" s="567"/>
      <c r="Q174" s="549"/>
      <c r="S174" s="551"/>
      <c r="T174" s="549"/>
    </row>
    <row r="175" spans="1:20" s="550" customFormat="1" ht="16.5" customHeight="1">
      <c r="A175" s="552" t="s">
        <v>751</v>
      </c>
      <c r="B175" s="1350" t="s">
        <v>752</v>
      </c>
      <c r="C175" s="1351"/>
      <c r="D175" s="1352"/>
      <c r="E175" s="553" t="s">
        <v>571</v>
      </c>
      <c r="F175" s="554">
        <v>1</v>
      </c>
      <c r="G175" s="555">
        <v>164407</v>
      </c>
      <c r="H175" s="556">
        <f t="shared" si="14"/>
        <v>164407</v>
      </c>
      <c r="I175" s="557">
        <v>1</v>
      </c>
      <c r="J175" s="555">
        <v>164400</v>
      </c>
      <c r="K175" s="558">
        <f t="shared" si="15"/>
        <v>164400</v>
      </c>
      <c r="L175" s="545">
        <f>'[3]ACTA MOD. reformulacion'!K166</f>
        <v>1</v>
      </c>
      <c r="M175" s="546">
        <v>164400</v>
      </c>
      <c r="N175" s="547">
        <f t="shared" si="13"/>
        <v>164400</v>
      </c>
      <c r="O175" s="559" t="s">
        <v>753</v>
      </c>
      <c r="P175" s="549"/>
      <c r="Q175" s="549"/>
      <c r="S175" s="551"/>
      <c r="T175" s="549"/>
    </row>
    <row r="176" spans="1:20" s="550" customFormat="1" ht="17.25" customHeight="1">
      <c r="A176" s="1427"/>
      <c r="B176" s="1428"/>
      <c r="C176" s="1428"/>
      <c r="D176" s="1430"/>
      <c r="E176" s="615"/>
      <c r="F176" s="1419" t="s">
        <v>754</v>
      </c>
      <c r="G176" s="1415"/>
      <c r="H176" s="594">
        <f>+SUM(H168:H175)</f>
        <v>13142520</v>
      </c>
      <c r="I176" s="1414" t="s">
        <v>754</v>
      </c>
      <c r="J176" s="1415"/>
      <c r="K176" s="594">
        <f>SUM(K168:K175)</f>
        <v>13141390</v>
      </c>
      <c r="L176" s="545">
        <f>'[3]ACTA MOD. reformulacion'!K167</f>
        <v>0</v>
      </c>
      <c r="M176" s="546">
        <v>0</v>
      </c>
      <c r="N176" s="594">
        <f>SUM(N168:N175)</f>
        <v>24557222</v>
      </c>
      <c r="O176" s="559"/>
      <c r="P176" s="549"/>
      <c r="Q176" s="549"/>
      <c r="S176" s="551"/>
      <c r="T176" s="549"/>
    </row>
    <row r="177" spans="1:20" s="550" customFormat="1" ht="17.25" customHeight="1">
      <c r="A177" s="595">
        <v>6.2</v>
      </c>
      <c r="B177" s="1423" t="s">
        <v>755</v>
      </c>
      <c r="C177" s="1424"/>
      <c r="D177" s="1425"/>
      <c r="E177" s="593"/>
      <c r="F177" s="596"/>
      <c r="G177" s="597"/>
      <c r="H177" s="594"/>
      <c r="I177" s="598"/>
      <c r="J177" s="597"/>
      <c r="K177" s="627"/>
      <c r="L177" s="545">
        <f>'[3]ACTA MOD. reformulacion'!K168</f>
        <v>0</v>
      </c>
      <c r="M177" s="546">
        <v>0</v>
      </c>
      <c r="N177" s="547"/>
      <c r="O177" s="559"/>
      <c r="P177" s="549"/>
      <c r="Q177" s="549"/>
      <c r="S177" s="551"/>
      <c r="T177" s="549"/>
    </row>
    <row r="178" spans="1:20" s="550" customFormat="1" ht="28.5" customHeight="1">
      <c r="A178" s="552" t="s">
        <v>756</v>
      </c>
      <c r="B178" s="1350" t="s">
        <v>684</v>
      </c>
      <c r="C178" s="1351"/>
      <c r="D178" s="1352"/>
      <c r="E178" s="553" t="s">
        <v>163</v>
      </c>
      <c r="F178" s="554">
        <v>4.3</v>
      </c>
      <c r="G178" s="555">
        <v>13950</v>
      </c>
      <c r="H178" s="556">
        <f>+ROUND(F178*G178,0)</f>
        <v>59985</v>
      </c>
      <c r="I178" s="557">
        <v>4.3</v>
      </c>
      <c r="J178" s="555">
        <v>13950</v>
      </c>
      <c r="K178" s="558">
        <f>+ROUND(I178*J178,0)</f>
        <v>59985</v>
      </c>
      <c r="L178" s="545">
        <f>'[3]ACTA MOD. reformulacion'!K169</f>
        <v>151.7672</v>
      </c>
      <c r="M178" s="546">
        <v>13950</v>
      </c>
      <c r="N178" s="547">
        <f>ROUND(+L178*M178,0)</f>
        <v>2117152</v>
      </c>
      <c r="O178" s="559" t="s">
        <v>757</v>
      </c>
      <c r="P178" s="567">
        <f>151.77-4.3</f>
        <v>147.47</v>
      </c>
      <c r="Q178" s="549"/>
      <c r="S178" s="551"/>
      <c r="T178" s="549"/>
    </row>
    <row r="179" spans="1:20" s="550" customFormat="1" ht="25.5" customHeight="1">
      <c r="A179" s="552" t="s">
        <v>758</v>
      </c>
      <c r="B179" s="1350" t="s">
        <v>686</v>
      </c>
      <c r="C179" s="1351"/>
      <c r="D179" s="1352"/>
      <c r="E179" s="553" t="s">
        <v>163</v>
      </c>
      <c r="F179" s="554">
        <v>1652</v>
      </c>
      <c r="G179" s="555">
        <v>9370</v>
      </c>
      <c r="H179" s="556">
        <f>+ROUND(F179*G179,0)</f>
        <v>15479240</v>
      </c>
      <c r="I179" s="557">
        <v>1652</v>
      </c>
      <c r="J179" s="555">
        <v>9370</v>
      </c>
      <c r="K179" s="558">
        <f>+ROUND(I179*J179,0)</f>
        <v>15479240</v>
      </c>
      <c r="L179" s="545">
        <f>'[3]ACTA MOD. reformulacion'!K170</f>
        <v>583.34999999999991</v>
      </c>
      <c r="M179" s="546">
        <v>9370</v>
      </c>
      <c r="N179" s="547">
        <f>ROUND(+L179*M179,0)</f>
        <v>5465990</v>
      </c>
      <c r="O179" s="635" t="s">
        <v>759</v>
      </c>
      <c r="P179" s="567">
        <f>1652-583.35</f>
        <v>1068.6500000000001</v>
      </c>
      <c r="Q179" s="549"/>
      <c r="S179" s="551"/>
      <c r="T179" s="549"/>
    </row>
    <row r="180" spans="1:20" s="550" customFormat="1" ht="18.75" customHeight="1">
      <c r="A180" s="1427"/>
      <c r="B180" s="1428"/>
      <c r="C180" s="1428"/>
      <c r="D180" s="1429"/>
      <c r="E180" s="593"/>
      <c r="F180" s="1419" t="s">
        <v>689</v>
      </c>
      <c r="G180" s="1415"/>
      <c r="H180" s="594">
        <f>+H178+H179</f>
        <v>15539225</v>
      </c>
      <c r="I180" s="1414" t="s">
        <v>689</v>
      </c>
      <c r="J180" s="1415"/>
      <c r="K180" s="594">
        <f>+K178+K179</f>
        <v>15539225</v>
      </c>
      <c r="L180" s="545">
        <f>'[3]ACTA MOD. reformulacion'!K171</f>
        <v>0</v>
      </c>
      <c r="M180" s="546">
        <v>0</v>
      </c>
      <c r="N180" s="594">
        <f>SUM(N178:N179)</f>
        <v>7583142</v>
      </c>
      <c r="O180" s="559"/>
      <c r="P180" s="549"/>
      <c r="Q180" s="549"/>
      <c r="S180" s="551"/>
      <c r="T180" s="549"/>
    </row>
    <row r="181" spans="1:20" s="550" customFormat="1" ht="17.25" customHeight="1">
      <c r="A181" s="595">
        <v>6.3</v>
      </c>
      <c r="B181" s="1423" t="s">
        <v>674</v>
      </c>
      <c r="C181" s="1424"/>
      <c r="D181" s="1425"/>
      <c r="E181" s="593"/>
      <c r="F181" s="596"/>
      <c r="G181" s="597"/>
      <c r="H181" s="594"/>
      <c r="I181" s="598"/>
      <c r="J181" s="597"/>
      <c r="K181" s="594"/>
      <c r="L181" s="545">
        <f>'[3]ACTA MOD. reformulacion'!K172</f>
        <v>0</v>
      </c>
      <c r="M181" s="546">
        <v>0</v>
      </c>
      <c r="N181" s="547"/>
      <c r="O181" s="559"/>
      <c r="P181" s="549"/>
      <c r="Q181" s="549"/>
      <c r="S181" s="551"/>
      <c r="T181" s="549"/>
    </row>
    <row r="182" spans="1:20" s="550" customFormat="1" ht="24" customHeight="1">
      <c r="A182" s="552" t="s">
        <v>760</v>
      </c>
      <c r="B182" s="1350" t="s">
        <v>761</v>
      </c>
      <c r="C182" s="1351"/>
      <c r="D182" s="1352"/>
      <c r="E182" s="553" t="s">
        <v>163</v>
      </c>
      <c r="F182" s="554">
        <v>4.3</v>
      </c>
      <c r="G182" s="555">
        <v>129017</v>
      </c>
      <c r="H182" s="556">
        <v>554774</v>
      </c>
      <c r="I182" s="557">
        <v>4.3</v>
      </c>
      <c r="J182" s="555">
        <v>129015</v>
      </c>
      <c r="K182" s="558">
        <f>+ROUND(I182*J182,0)</f>
        <v>554765</v>
      </c>
      <c r="L182" s="545">
        <f>'[3]ACTA MOD. reformulacion'!K173</f>
        <v>7.3699999999999992</v>
      </c>
      <c r="M182" s="546">
        <v>129015</v>
      </c>
      <c r="N182" s="547">
        <f>ROUND(+L182*M182,0)</f>
        <v>950841</v>
      </c>
      <c r="O182" s="559" t="s">
        <v>762</v>
      </c>
      <c r="P182" s="567">
        <f>7.37-4.3</f>
        <v>3.0700000000000003</v>
      </c>
      <c r="Q182" s="549"/>
      <c r="S182" s="551"/>
      <c r="T182" s="549"/>
    </row>
    <row r="183" spans="1:20" s="550" customFormat="1" ht="16.5" customHeight="1">
      <c r="A183" s="552" t="s">
        <v>763</v>
      </c>
      <c r="B183" s="1350" t="s">
        <v>679</v>
      </c>
      <c r="C183" s="1351"/>
      <c r="D183" s="1352"/>
      <c r="E183" s="553" t="s">
        <v>163</v>
      </c>
      <c r="F183" s="554">
        <v>2</v>
      </c>
      <c r="G183" s="555">
        <v>45395</v>
      </c>
      <c r="H183" s="556">
        <f>+ROUND(F183*G183,0)</f>
        <v>90790</v>
      </c>
      <c r="I183" s="557">
        <v>2</v>
      </c>
      <c r="J183" s="555">
        <v>45395</v>
      </c>
      <c r="K183" s="558">
        <f>+ROUND(I183*J183,0)</f>
        <v>90790</v>
      </c>
      <c r="L183" s="545">
        <f>'[3]ACTA MOD. reformulacion'!K174</f>
        <v>0</v>
      </c>
      <c r="M183" s="546">
        <v>45395</v>
      </c>
      <c r="N183" s="547">
        <f>ROUND(+L183*M183,0)</f>
        <v>0</v>
      </c>
      <c r="O183" s="559" t="s">
        <v>764</v>
      </c>
      <c r="P183" s="549"/>
      <c r="Q183" s="549"/>
      <c r="S183" s="551"/>
      <c r="T183" s="549"/>
    </row>
    <row r="184" spans="1:20" s="550" customFormat="1" ht="35.25" customHeight="1">
      <c r="A184" s="552" t="s">
        <v>765</v>
      </c>
      <c r="B184" s="1350" t="s">
        <v>766</v>
      </c>
      <c r="C184" s="1351"/>
      <c r="D184" s="1352"/>
      <c r="E184" s="553" t="s">
        <v>163</v>
      </c>
      <c r="F184" s="554">
        <v>8.35</v>
      </c>
      <c r="G184" s="555">
        <v>132687</v>
      </c>
      <c r="H184" s="556">
        <v>1107937</v>
      </c>
      <c r="I184" s="557">
        <v>8.35</v>
      </c>
      <c r="J184" s="555">
        <v>132685</v>
      </c>
      <c r="K184" s="558">
        <f>+ROUND(I184*J184,0)</f>
        <v>1107920</v>
      </c>
      <c r="L184" s="545">
        <f>'[3]ACTA MOD. reformulacion'!K175</f>
        <v>7.96</v>
      </c>
      <c r="M184" s="546">
        <v>132685</v>
      </c>
      <c r="N184" s="547">
        <f>ROUND(+L184*M184,0)</f>
        <v>1056173</v>
      </c>
      <c r="O184" s="559" t="s">
        <v>767</v>
      </c>
      <c r="P184" s="567">
        <f>8.35-7.96</f>
        <v>0.38999999999999968</v>
      </c>
      <c r="Q184" s="549"/>
      <c r="S184" s="551"/>
      <c r="T184" s="549"/>
    </row>
    <row r="185" spans="1:20" s="550" customFormat="1" ht="15.75" customHeight="1">
      <c r="A185" s="1418"/>
      <c r="B185" s="1402"/>
      <c r="C185" s="1402"/>
      <c r="D185" s="1403"/>
      <c r="E185" s="593"/>
      <c r="F185" s="1419" t="s">
        <v>681</v>
      </c>
      <c r="G185" s="1415"/>
      <c r="H185" s="594">
        <f>+H182+H183+H184</f>
        <v>1753501</v>
      </c>
      <c r="I185" s="1414" t="s">
        <v>681</v>
      </c>
      <c r="J185" s="1415"/>
      <c r="K185" s="594">
        <f>+K182+K183+K184</f>
        <v>1753475</v>
      </c>
      <c r="L185" s="545">
        <f>'[3]ACTA MOD. reformulacion'!K176</f>
        <v>0</v>
      </c>
      <c r="M185" s="546">
        <v>0</v>
      </c>
      <c r="N185" s="594">
        <f>SUM(N182:N184)</f>
        <v>2007014</v>
      </c>
      <c r="O185" s="559"/>
      <c r="P185" s="549"/>
      <c r="Q185" s="549"/>
      <c r="S185" s="551"/>
      <c r="T185" s="549"/>
    </row>
    <row r="186" spans="1:20" s="550" customFormat="1" ht="17.25" customHeight="1">
      <c r="A186" s="595">
        <v>6.4</v>
      </c>
      <c r="B186" s="1423" t="s">
        <v>768</v>
      </c>
      <c r="C186" s="1424"/>
      <c r="D186" s="1425"/>
      <c r="E186" s="593"/>
      <c r="F186" s="596"/>
      <c r="G186" s="597"/>
      <c r="H186" s="594"/>
      <c r="I186" s="598"/>
      <c r="J186" s="597"/>
      <c r="K186" s="594"/>
      <c r="L186" s="545">
        <f>'[3]ACTA MOD. reformulacion'!K177</f>
        <v>0</v>
      </c>
      <c r="M186" s="546">
        <v>0</v>
      </c>
      <c r="N186" s="547"/>
      <c r="O186" s="559"/>
      <c r="P186" s="549"/>
      <c r="Q186" s="549"/>
      <c r="S186" s="551"/>
      <c r="T186" s="549"/>
    </row>
    <row r="187" spans="1:20" s="550" customFormat="1" ht="25.5" customHeight="1">
      <c r="A187" s="552" t="s">
        <v>769</v>
      </c>
      <c r="B187" s="1350" t="s">
        <v>770</v>
      </c>
      <c r="C187" s="1351"/>
      <c r="D187" s="1352"/>
      <c r="E187" s="553" t="s">
        <v>571</v>
      </c>
      <c r="F187" s="554">
        <v>5</v>
      </c>
      <c r="G187" s="555">
        <v>756000</v>
      </c>
      <c r="H187" s="556">
        <f t="shared" ref="H187:H237" si="16">+ROUND(F187*G187,0)</f>
        <v>3780000</v>
      </c>
      <c r="I187" s="557">
        <v>5</v>
      </c>
      <c r="J187" s="555">
        <v>756000</v>
      </c>
      <c r="K187" s="558">
        <f>+ROUND(I187*J187,0)</f>
        <v>3780000</v>
      </c>
      <c r="L187" s="545">
        <f>'[3]ACTA MOD. reformulacion'!K178</f>
        <v>5</v>
      </c>
      <c r="M187" s="546">
        <v>756000</v>
      </c>
      <c r="N187" s="547">
        <f t="shared" ref="N187:N237" si="17">ROUND(+L187*M187,0)</f>
        <v>3780000</v>
      </c>
      <c r="O187" s="559" t="s">
        <v>771</v>
      </c>
      <c r="P187" s="549"/>
      <c r="Q187" s="549"/>
      <c r="S187" s="551"/>
      <c r="T187" s="549"/>
    </row>
    <row r="188" spans="1:20" s="550" customFormat="1" ht="25.5" customHeight="1">
      <c r="A188" s="552" t="s">
        <v>772</v>
      </c>
      <c r="B188" s="1350" t="s">
        <v>773</v>
      </c>
      <c r="C188" s="1351"/>
      <c r="D188" s="1352"/>
      <c r="E188" s="553" t="s">
        <v>571</v>
      </c>
      <c r="F188" s="554">
        <v>7</v>
      </c>
      <c r="G188" s="555">
        <v>132857</v>
      </c>
      <c r="H188" s="556">
        <f t="shared" si="16"/>
        <v>929999</v>
      </c>
      <c r="I188" s="557">
        <v>7</v>
      </c>
      <c r="J188" s="555">
        <v>132855</v>
      </c>
      <c r="K188" s="558">
        <f t="shared" ref="K188:K237" si="18">+ROUND(I188*J188,0)</f>
        <v>929985</v>
      </c>
      <c r="L188" s="545">
        <f>'[3]ACTA MOD. reformulacion'!K179</f>
        <v>7</v>
      </c>
      <c r="M188" s="546">
        <v>132855</v>
      </c>
      <c r="N188" s="547">
        <f t="shared" si="17"/>
        <v>929985</v>
      </c>
      <c r="O188" s="559" t="s">
        <v>771</v>
      </c>
      <c r="P188" s="549"/>
      <c r="Q188" s="549"/>
      <c r="S188" s="551"/>
      <c r="T188" s="549"/>
    </row>
    <row r="189" spans="1:20" s="550" customFormat="1" ht="23.25" customHeight="1">
      <c r="A189" s="552" t="s">
        <v>774</v>
      </c>
      <c r="B189" s="1350" t="s">
        <v>775</v>
      </c>
      <c r="C189" s="1351"/>
      <c r="D189" s="1352"/>
      <c r="E189" s="553" t="s">
        <v>571</v>
      </c>
      <c r="F189" s="554">
        <v>14</v>
      </c>
      <c r="G189" s="555">
        <v>35000</v>
      </c>
      <c r="H189" s="556">
        <f t="shared" si="16"/>
        <v>490000</v>
      </c>
      <c r="I189" s="557">
        <v>14</v>
      </c>
      <c r="J189" s="555">
        <v>35000</v>
      </c>
      <c r="K189" s="558">
        <f t="shared" si="18"/>
        <v>490000</v>
      </c>
      <c r="L189" s="545">
        <f>'[3]ACTA MOD. reformulacion'!K180</f>
        <v>14</v>
      </c>
      <c r="M189" s="546">
        <v>35000</v>
      </c>
      <c r="N189" s="547">
        <f t="shared" si="17"/>
        <v>490000</v>
      </c>
      <c r="O189" s="559" t="s">
        <v>771</v>
      </c>
      <c r="P189" s="549"/>
      <c r="Q189" s="549"/>
      <c r="S189" s="551"/>
      <c r="T189" s="549"/>
    </row>
    <row r="190" spans="1:20" s="550" customFormat="1" ht="22.5" customHeight="1">
      <c r="A190" s="552" t="s">
        <v>776</v>
      </c>
      <c r="B190" s="1350" t="s">
        <v>777</v>
      </c>
      <c r="C190" s="1351"/>
      <c r="D190" s="1352"/>
      <c r="E190" s="553" t="s">
        <v>571</v>
      </c>
      <c r="F190" s="554">
        <v>8</v>
      </c>
      <c r="G190" s="555">
        <v>45000</v>
      </c>
      <c r="H190" s="556">
        <f t="shared" si="16"/>
        <v>360000</v>
      </c>
      <c r="I190" s="557">
        <v>8</v>
      </c>
      <c r="J190" s="555">
        <v>45000</v>
      </c>
      <c r="K190" s="558">
        <f t="shared" si="18"/>
        <v>360000</v>
      </c>
      <c r="L190" s="545">
        <f>'[3]ACTA MOD. reformulacion'!K181</f>
        <v>8</v>
      </c>
      <c r="M190" s="546">
        <v>45000</v>
      </c>
      <c r="N190" s="547">
        <f t="shared" si="17"/>
        <v>360000</v>
      </c>
      <c r="O190" s="559" t="s">
        <v>771</v>
      </c>
      <c r="P190" s="549"/>
      <c r="Q190" s="549"/>
      <c r="S190" s="551"/>
      <c r="T190" s="549"/>
    </row>
    <row r="191" spans="1:20" s="550" customFormat="1" ht="24" customHeight="1">
      <c r="A191" s="552" t="s">
        <v>778</v>
      </c>
      <c r="B191" s="1350" t="s">
        <v>779</v>
      </c>
      <c r="C191" s="1351"/>
      <c r="D191" s="1352"/>
      <c r="E191" s="553" t="s">
        <v>571</v>
      </c>
      <c r="F191" s="554">
        <v>14</v>
      </c>
      <c r="G191" s="555">
        <v>800</v>
      </c>
      <c r="H191" s="556">
        <f t="shared" si="16"/>
        <v>11200</v>
      </c>
      <c r="I191" s="557">
        <v>14</v>
      </c>
      <c r="J191" s="555">
        <v>800</v>
      </c>
      <c r="K191" s="558">
        <f t="shared" si="18"/>
        <v>11200</v>
      </c>
      <c r="L191" s="545">
        <f>'[3]ACTA MOD. reformulacion'!K182</f>
        <v>14</v>
      </c>
      <c r="M191" s="546">
        <v>800</v>
      </c>
      <c r="N191" s="547">
        <f t="shared" si="17"/>
        <v>11200</v>
      </c>
      <c r="O191" s="559" t="s">
        <v>771</v>
      </c>
      <c r="P191" s="549"/>
      <c r="Q191" s="549"/>
      <c r="S191" s="551"/>
      <c r="T191" s="549"/>
    </row>
    <row r="192" spans="1:20" s="550" customFormat="1" ht="22.5" customHeight="1">
      <c r="A192" s="552" t="s">
        <v>780</v>
      </c>
      <c r="B192" s="1350" t="s">
        <v>781</v>
      </c>
      <c r="C192" s="1351"/>
      <c r="D192" s="1352"/>
      <c r="E192" s="553" t="s">
        <v>571</v>
      </c>
      <c r="F192" s="554">
        <v>14</v>
      </c>
      <c r="G192" s="555">
        <v>200</v>
      </c>
      <c r="H192" s="556">
        <f t="shared" si="16"/>
        <v>2800</v>
      </c>
      <c r="I192" s="557">
        <v>14</v>
      </c>
      <c r="J192" s="555">
        <v>200</v>
      </c>
      <c r="K192" s="558">
        <f t="shared" si="18"/>
        <v>2800</v>
      </c>
      <c r="L192" s="545">
        <f>'[3]ACTA MOD. reformulacion'!K183</f>
        <v>14</v>
      </c>
      <c r="M192" s="546">
        <v>200</v>
      </c>
      <c r="N192" s="547">
        <f t="shared" si="17"/>
        <v>2800</v>
      </c>
      <c r="O192" s="559" t="s">
        <v>771</v>
      </c>
      <c r="P192" s="549"/>
      <c r="Q192" s="549"/>
      <c r="S192" s="551"/>
      <c r="T192" s="549"/>
    </row>
    <row r="193" spans="1:20" s="550" customFormat="1" ht="23.25" customHeight="1">
      <c r="A193" s="552" t="s">
        <v>782</v>
      </c>
      <c r="B193" s="1350" t="s">
        <v>783</v>
      </c>
      <c r="C193" s="1351"/>
      <c r="D193" s="1352"/>
      <c r="E193" s="553" t="s">
        <v>571</v>
      </c>
      <c r="F193" s="554">
        <v>7</v>
      </c>
      <c r="G193" s="555">
        <v>2500</v>
      </c>
      <c r="H193" s="556">
        <f t="shared" si="16"/>
        <v>17500</v>
      </c>
      <c r="I193" s="557">
        <v>7</v>
      </c>
      <c r="J193" s="555">
        <v>2500</v>
      </c>
      <c r="K193" s="558">
        <f t="shared" si="18"/>
        <v>17500</v>
      </c>
      <c r="L193" s="545">
        <f>'[3]ACTA MOD. reformulacion'!K184</f>
        <v>7</v>
      </c>
      <c r="M193" s="546">
        <v>2500</v>
      </c>
      <c r="N193" s="547">
        <f t="shared" si="17"/>
        <v>17500</v>
      </c>
      <c r="O193" s="559" t="s">
        <v>771</v>
      </c>
      <c r="P193" s="549"/>
      <c r="Q193" s="549"/>
      <c r="S193" s="551"/>
      <c r="T193" s="549"/>
    </row>
    <row r="194" spans="1:20" s="550" customFormat="1" ht="25.5" customHeight="1">
      <c r="A194" s="552" t="s">
        <v>784</v>
      </c>
      <c r="B194" s="1350" t="s">
        <v>785</v>
      </c>
      <c r="C194" s="1351"/>
      <c r="D194" s="1352"/>
      <c r="E194" s="553" t="s">
        <v>571</v>
      </c>
      <c r="F194" s="554">
        <v>28</v>
      </c>
      <c r="G194" s="555">
        <v>400</v>
      </c>
      <c r="H194" s="556">
        <f t="shared" si="16"/>
        <v>11200</v>
      </c>
      <c r="I194" s="557">
        <v>28</v>
      </c>
      <c r="J194" s="555">
        <v>400</v>
      </c>
      <c r="K194" s="558">
        <f t="shared" si="18"/>
        <v>11200</v>
      </c>
      <c r="L194" s="545">
        <f>'[3]ACTA MOD. reformulacion'!K185</f>
        <v>28</v>
      </c>
      <c r="M194" s="546">
        <v>400</v>
      </c>
      <c r="N194" s="547">
        <f t="shared" si="17"/>
        <v>11200</v>
      </c>
      <c r="O194" s="559" t="s">
        <v>771</v>
      </c>
      <c r="P194" s="549"/>
      <c r="Q194" s="549"/>
      <c r="S194" s="551"/>
      <c r="T194" s="549"/>
    </row>
    <row r="195" spans="1:20" s="550" customFormat="1" ht="24" customHeight="1">
      <c r="A195" s="552" t="s">
        <v>786</v>
      </c>
      <c r="B195" s="1350" t="s">
        <v>787</v>
      </c>
      <c r="C195" s="1351"/>
      <c r="D195" s="1352"/>
      <c r="E195" s="553" t="s">
        <v>571</v>
      </c>
      <c r="F195" s="554">
        <v>8</v>
      </c>
      <c r="G195" s="555">
        <v>35000</v>
      </c>
      <c r="H195" s="556">
        <f t="shared" si="16"/>
        <v>280000</v>
      </c>
      <c r="I195" s="557">
        <v>8</v>
      </c>
      <c r="J195" s="555">
        <v>35000</v>
      </c>
      <c r="K195" s="558">
        <f t="shared" si="18"/>
        <v>280000</v>
      </c>
      <c r="L195" s="545">
        <f>'[3]ACTA MOD. reformulacion'!K186</f>
        <v>8</v>
      </c>
      <c r="M195" s="546">
        <v>35000</v>
      </c>
      <c r="N195" s="547">
        <f t="shared" si="17"/>
        <v>280000</v>
      </c>
      <c r="O195" s="559" t="s">
        <v>771</v>
      </c>
      <c r="P195" s="549"/>
      <c r="Q195" s="549"/>
      <c r="S195" s="551"/>
      <c r="T195" s="549"/>
    </row>
    <row r="196" spans="1:20" s="550" customFormat="1" ht="26.25" customHeight="1">
      <c r="A196" s="552" t="s">
        <v>788</v>
      </c>
      <c r="B196" s="1350" t="s">
        <v>789</v>
      </c>
      <c r="C196" s="1351"/>
      <c r="D196" s="1352"/>
      <c r="E196" s="553" t="s">
        <v>571</v>
      </c>
      <c r="F196" s="554">
        <v>4</v>
      </c>
      <c r="G196" s="555">
        <v>14500</v>
      </c>
      <c r="H196" s="556">
        <f t="shared" si="16"/>
        <v>58000</v>
      </c>
      <c r="I196" s="557">
        <v>4</v>
      </c>
      <c r="J196" s="555">
        <v>14500</v>
      </c>
      <c r="K196" s="558">
        <f t="shared" si="18"/>
        <v>58000</v>
      </c>
      <c r="L196" s="545">
        <f>'[3]ACTA MOD. reformulacion'!K187</f>
        <v>4</v>
      </c>
      <c r="M196" s="546">
        <v>14500</v>
      </c>
      <c r="N196" s="547">
        <f t="shared" si="17"/>
        <v>58000</v>
      </c>
      <c r="O196" s="559" t="s">
        <v>771</v>
      </c>
      <c r="P196" s="549"/>
      <c r="Q196" s="549"/>
      <c r="S196" s="551"/>
      <c r="T196" s="549"/>
    </row>
    <row r="197" spans="1:20" s="550" customFormat="1" ht="25.5" customHeight="1">
      <c r="A197" s="552" t="s">
        <v>790</v>
      </c>
      <c r="B197" s="1350" t="s">
        <v>791</v>
      </c>
      <c r="C197" s="1351"/>
      <c r="D197" s="1352"/>
      <c r="E197" s="553" t="s">
        <v>571</v>
      </c>
      <c r="F197" s="554">
        <v>4</v>
      </c>
      <c r="G197" s="555">
        <v>27000</v>
      </c>
      <c r="H197" s="556">
        <f t="shared" si="16"/>
        <v>108000</v>
      </c>
      <c r="I197" s="557">
        <v>4</v>
      </c>
      <c r="J197" s="555">
        <v>27000</v>
      </c>
      <c r="K197" s="558">
        <f t="shared" si="18"/>
        <v>108000</v>
      </c>
      <c r="L197" s="545">
        <f>'[3]ACTA MOD. reformulacion'!K188</f>
        <v>4</v>
      </c>
      <c r="M197" s="546">
        <v>27000</v>
      </c>
      <c r="N197" s="547">
        <f t="shared" si="17"/>
        <v>108000</v>
      </c>
      <c r="O197" s="559" t="s">
        <v>771</v>
      </c>
      <c r="P197" s="549"/>
      <c r="Q197" s="549"/>
      <c r="S197" s="551"/>
      <c r="T197" s="549"/>
    </row>
    <row r="198" spans="1:20" s="550" customFormat="1" ht="22.5" customHeight="1">
      <c r="A198" s="552" t="s">
        <v>792</v>
      </c>
      <c r="B198" s="1350" t="s">
        <v>793</v>
      </c>
      <c r="C198" s="1351"/>
      <c r="D198" s="1352"/>
      <c r="E198" s="553" t="s">
        <v>794</v>
      </c>
      <c r="F198" s="554">
        <v>4</v>
      </c>
      <c r="G198" s="555">
        <v>12000</v>
      </c>
      <c r="H198" s="556">
        <f t="shared" si="16"/>
        <v>48000</v>
      </c>
      <c r="I198" s="557">
        <v>4</v>
      </c>
      <c r="J198" s="555">
        <v>12000</v>
      </c>
      <c r="K198" s="558">
        <f t="shared" si="18"/>
        <v>48000</v>
      </c>
      <c r="L198" s="545">
        <f>'[3]ACTA MOD. reformulacion'!K189</f>
        <v>4</v>
      </c>
      <c r="M198" s="546">
        <v>12000</v>
      </c>
      <c r="N198" s="547">
        <f t="shared" si="17"/>
        <v>48000</v>
      </c>
      <c r="O198" s="559" t="s">
        <v>771</v>
      </c>
      <c r="P198" s="549"/>
      <c r="Q198" s="549"/>
      <c r="S198" s="551"/>
      <c r="T198" s="549"/>
    </row>
    <row r="199" spans="1:20" s="550" customFormat="1" ht="22.5" customHeight="1">
      <c r="A199" s="552" t="s">
        <v>795</v>
      </c>
      <c r="B199" s="1350" t="s">
        <v>796</v>
      </c>
      <c r="C199" s="1351"/>
      <c r="D199" s="1352"/>
      <c r="E199" s="553" t="s">
        <v>571</v>
      </c>
      <c r="F199" s="554">
        <v>4</v>
      </c>
      <c r="G199" s="555">
        <v>2000</v>
      </c>
      <c r="H199" s="556">
        <f t="shared" si="16"/>
        <v>8000</v>
      </c>
      <c r="I199" s="557">
        <v>4</v>
      </c>
      <c r="J199" s="555">
        <v>2000</v>
      </c>
      <c r="K199" s="558">
        <f t="shared" si="18"/>
        <v>8000</v>
      </c>
      <c r="L199" s="545">
        <f>'[3]ACTA MOD. reformulacion'!K190</f>
        <v>4</v>
      </c>
      <c r="M199" s="546">
        <v>2000</v>
      </c>
      <c r="N199" s="547">
        <f t="shared" si="17"/>
        <v>8000</v>
      </c>
      <c r="O199" s="559" t="s">
        <v>771</v>
      </c>
      <c r="P199" s="549"/>
      <c r="Q199" s="549"/>
      <c r="S199" s="551"/>
      <c r="T199" s="549"/>
    </row>
    <row r="200" spans="1:20" s="550" customFormat="1" ht="21" customHeight="1">
      <c r="A200" s="552" t="s">
        <v>797</v>
      </c>
      <c r="B200" s="1350" t="s">
        <v>798</v>
      </c>
      <c r="C200" s="1351"/>
      <c r="D200" s="1352"/>
      <c r="E200" s="553" t="s">
        <v>571</v>
      </c>
      <c r="F200" s="554">
        <v>4</v>
      </c>
      <c r="G200" s="555">
        <v>5000</v>
      </c>
      <c r="H200" s="556">
        <f t="shared" si="16"/>
        <v>20000</v>
      </c>
      <c r="I200" s="557">
        <v>4</v>
      </c>
      <c r="J200" s="555">
        <v>5000</v>
      </c>
      <c r="K200" s="558">
        <f t="shared" si="18"/>
        <v>20000</v>
      </c>
      <c r="L200" s="545">
        <f>'[3]ACTA MOD. reformulacion'!K191</f>
        <v>4</v>
      </c>
      <c r="M200" s="546">
        <v>5000</v>
      </c>
      <c r="N200" s="547">
        <f t="shared" si="17"/>
        <v>20000</v>
      </c>
      <c r="O200" s="559" t="s">
        <v>771</v>
      </c>
      <c r="P200" s="549"/>
      <c r="Q200" s="549"/>
      <c r="S200" s="551"/>
      <c r="T200" s="549"/>
    </row>
    <row r="201" spans="1:20" s="550" customFormat="1" ht="21" customHeight="1">
      <c r="A201" s="552" t="s">
        <v>799</v>
      </c>
      <c r="B201" s="1350" t="s">
        <v>800</v>
      </c>
      <c r="C201" s="1351"/>
      <c r="D201" s="1352"/>
      <c r="E201" s="553" t="s">
        <v>571</v>
      </c>
      <c r="F201" s="554">
        <v>4</v>
      </c>
      <c r="G201" s="555">
        <v>17000</v>
      </c>
      <c r="H201" s="556">
        <f t="shared" si="16"/>
        <v>68000</v>
      </c>
      <c r="I201" s="557">
        <v>4</v>
      </c>
      <c r="J201" s="555">
        <v>17000</v>
      </c>
      <c r="K201" s="558">
        <f t="shared" si="18"/>
        <v>68000</v>
      </c>
      <c r="L201" s="545">
        <f>'[3]ACTA MOD. reformulacion'!K192</f>
        <v>4</v>
      </c>
      <c r="M201" s="546">
        <v>17000</v>
      </c>
      <c r="N201" s="547">
        <f t="shared" si="17"/>
        <v>68000</v>
      </c>
      <c r="O201" s="559" t="s">
        <v>771</v>
      </c>
      <c r="P201" s="549"/>
      <c r="Q201" s="549"/>
      <c r="S201" s="551"/>
      <c r="T201" s="549"/>
    </row>
    <row r="202" spans="1:20" s="550" customFormat="1" ht="23.25" customHeight="1">
      <c r="A202" s="552" t="s">
        <v>801</v>
      </c>
      <c r="B202" s="1350" t="s">
        <v>802</v>
      </c>
      <c r="C202" s="1351"/>
      <c r="D202" s="1352"/>
      <c r="E202" s="553" t="s">
        <v>571</v>
      </c>
      <c r="F202" s="554">
        <v>16</v>
      </c>
      <c r="G202" s="555">
        <v>10000</v>
      </c>
      <c r="H202" s="556">
        <f t="shared" si="16"/>
        <v>160000</v>
      </c>
      <c r="I202" s="557">
        <v>16</v>
      </c>
      <c r="J202" s="555">
        <v>10000</v>
      </c>
      <c r="K202" s="558">
        <f t="shared" si="18"/>
        <v>160000</v>
      </c>
      <c r="L202" s="545">
        <f>'[3]ACTA MOD. reformulacion'!K193</f>
        <v>16</v>
      </c>
      <c r="M202" s="546">
        <v>10000</v>
      </c>
      <c r="N202" s="547">
        <f t="shared" si="17"/>
        <v>160000</v>
      </c>
      <c r="O202" s="559" t="s">
        <v>771</v>
      </c>
      <c r="P202" s="549"/>
      <c r="Q202" s="549"/>
      <c r="S202" s="551"/>
      <c r="T202" s="549"/>
    </row>
    <row r="203" spans="1:20" s="550" customFormat="1" ht="21.75" customHeight="1">
      <c r="A203" s="552" t="s">
        <v>803</v>
      </c>
      <c r="B203" s="1350" t="s">
        <v>804</v>
      </c>
      <c r="C203" s="1351"/>
      <c r="D203" s="1352"/>
      <c r="E203" s="553" t="s">
        <v>522</v>
      </c>
      <c r="F203" s="554">
        <v>3</v>
      </c>
      <c r="G203" s="555">
        <v>4500</v>
      </c>
      <c r="H203" s="556">
        <f t="shared" si="16"/>
        <v>13500</v>
      </c>
      <c r="I203" s="557">
        <v>3</v>
      </c>
      <c r="J203" s="555">
        <v>4500</v>
      </c>
      <c r="K203" s="558">
        <f t="shared" si="18"/>
        <v>13500</v>
      </c>
      <c r="L203" s="545">
        <f>'[3]ACTA MOD. reformulacion'!K194</f>
        <v>3</v>
      </c>
      <c r="M203" s="546">
        <v>4500</v>
      </c>
      <c r="N203" s="547">
        <f t="shared" si="17"/>
        <v>13500</v>
      </c>
      <c r="O203" s="559" t="s">
        <v>771</v>
      </c>
      <c r="P203" s="549"/>
      <c r="Q203" s="549"/>
      <c r="S203" s="551"/>
      <c r="T203" s="549"/>
    </row>
    <row r="204" spans="1:20" s="550" customFormat="1" ht="21" customHeight="1">
      <c r="A204" s="552" t="s">
        <v>805</v>
      </c>
      <c r="B204" s="1350" t="s">
        <v>806</v>
      </c>
      <c r="C204" s="1351"/>
      <c r="D204" s="1352"/>
      <c r="E204" s="553" t="s">
        <v>571</v>
      </c>
      <c r="F204" s="554">
        <v>2</v>
      </c>
      <c r="G204" s="555">
        <v>174000</v>
      </c>
      <c r="H204" s="556">
        <f t="shared" si="16"/>
        <v>348000</v>
      </c>
      <c r="I204" s="557">
        <v>2</v>
      </c>
      <c r="J204" s="555">
        <v>174000</v>
      </c>
      <c r="K204" s="558">
        <f t="shared" si="18"/>
        <v>348000</v>
      </c>
      <c r="L204" s="545">
        <f>'[3]ACTA MOD. reformulacion'!K195</f>
        <v>2</v>
      </c>
      <c r="M204" s="546">
        <v>174000</v>
      </c>
      <c r="N204" s="547">
        <f t="shared" si="17"/>
        <v>348000</v>
      </c>
      <c r="O204" s="559" t="s">
        <v>771</v>
      </c>
      <c r="P204" s="549"/>
      <c r="Q204" s="549"/>
      <c r="S204" s="551"/>
      <c r="T204" s="549"/>
    </row>
    <row r="205" spans="1:20" s="550" customFormat="1" ht="21.75" customHeight="1">
      <c r="A205" s="552" t="s">
        <v>807</v>
      </c>
      <c r="B205" s="1350" t="s">
        <v>808</v>
      </c>
      <c r="C205" s="1351"/>
      <c r="D205" s="1352"/>
      <c r="E205" s="553" t="s">
        <v>571</v>
      </c>
      <c r="F205" s="554">
        <v>2</v>
      </c>
      <c r="G205" s="555">
        <v>19500</v>
      </c>
      <c r="H205" s="556">
        <f t="shared" si="16"/>
        <v>39000</v>
      </c>
      <c r="I205" s="557">
        <v>2</v>
      </c>
      <c r="J205" s="555">
        <v>19500</v>
      </c>
      <c r="K205" s="558">
        <f t="shared" si="18"/>
        <v>39000</v>
      </c>
      <c r="L205" s="545">
        <f>'[3]ACTA MOD. reformulacion'!K196</f>
        <v>2</v>
      </c>
      <c r="M205" s="546">
        <v>19500</v>
      </c>
      <c r="N205" s="547">
        <f t="shared" si="17"/>
        <v>39000</v>
      </c>
      <c r="O205" s="559" t="s">
        <v>771</v>
      </c>
      <c r="P205" s="549"/>
      <c r="Q205" s="549"/>
      <c r="S205" s="551"/>
      <c r="T205" s="549"/>
    </row>
    <row r="206" spans="1:20" s="550" customFormat="1" ht="21.75" customHeight="1">
      <c r="A206" s="552" t="s">
        <v>809</v>
      </c>
      <c r="B206" s="1350" t="s">
        <v>810</v>
      </c>
      <c r="C206" s="1351"/>
      <c r="D206" s="1352"/>
      <c r="E206" s="553" t="s">
        <v>571</v>
      </c>
      <c r="F206" s="554">
        <v>4</v>
      </c>
      <c r="G206" s="555">
        <v>7300</v>
      </c>
      <c r="H206" s="556">
        <f t="shared" si="16"/>
        <v>29200</v>
      </c>
      <c r="I206" s="557">
        <v>4</v>
      </c>
      <c r="J206" s="555">
        <v>7300</v>
      </c>
      <c r="K206" s="558">
        <f t="shared" si="18"/>
        <v>29200</v>
      </c>
      <c r="L206" s="545">
        <f>'[3]ACTA MOD. reformulacion'!K197</f>
        <v>4</v>
      </c>
      <c r="M206" s="546">
        <v>7300</v>
      </c>
      <c r="N206" s="547">
        <f t="shared" si="17"/>
        <v>29200</v>
      </c>
      <c r="O206" s="559" t="s">
        <v>771</v>
      </c>
      <c r="P206" s="549"/>
      <c r="Q206" s="549"/>
      <c r="S206" s="551"/>
      <c r="T206" s="549"/>
    </row>
    <row r="207" spans="1:20" s="550" customFormat="1" ht="21.75" customHeight="1">
      <c r="A207" s="552" t="s">
        <v>811</v>
      </c>
      <c r="B207" s="1350" t="s">
        <v>812</v>
      </c>
      <c r="C207" s="1351"/>
      <c r="D207" s="1352"/>
      <c r="E207" s="553" t="s">
        <v>571</v>
      </c>
      <c r="F207" s="554">
        <v>2</v>
      </c>
      <c r="G207" s="555">
        <v>15200</v>
      </c>
      <c r="H207" s="556">
        <f t="shared" si="16"/>
        <v>30400</v>
      </c>
      <c r="I207" s="557">
        <v>2</v>
      </c>
      <c r="J207" s="555">
        <v>15200</v>
      </c>
      <c r="K207" s="558">
        <f t="shared" si="18"/>
        <v>30400</v>
      </c>
      <c r="L207" s="545">
        <f>'[3]ACTA MOD. reformulacion'!K198</f>
        <v>2</v>
      </c>
      <c r="M207" s="546">
        <v>15200</v>
      </c>
      <c r="N207" s="547">
        <f t="shared" si="17"/>
        <v>30400</v>
      </c>
      <c r="O207" s="559" t="s">
        <v>771</v>
      </c>
      <c r="P207" s="549"/>
      <c r="Q207" s="549"/>
      <c r="S207" s="551"/>
      <c r="T207" s="549"/>
    </row>
    <row r="208" spans="1:20" s="550" customFormat="1" ht="24.75" customHeight="1">
      <c r="A208" s="552" t="s">
        <v>813</v>
      </c>
      <c r="B208" s="1350" t="s">
        <v>814</v>
      </c>
      <c r="C208" s="1351"/>
      <c r="D208" s="1352"/>
      <c r="E208" s="553" t="s">
        <v>794</v>
      </c>
      <c r="F208" s="554">
        <v>60</v>
      </c>
      <c r="G208" s="555">
        <v>5433</v>
      </c>
      <c r="H208" s="556">
        <f t="shared" si="16"/>
        <v>325980</v>
      </c>
      <c r="I208" s="557">
        <v>60</v>
      </c>
      <c r="J208" s="555">
        <v>5430</v>
      </c>
      <c r="K208" s="558">
        <f t="shared" si="18"/>
        <v>325800</v>
      </c>
      <c r="L208" s="545">
        <f>'[3]ACTA MOD. reformulacion'!K199</f>
        <v>60</v>
      </c>
      <c r="M208" s="546">
        <v>5430</v>
      </c>
      <c r="N208" s="547">
        <f t="shared" si="17"/>
        <v>325800</v>
      </c>
      <c r="O208" s="559" t="s">
        <v>771</v>
      </c>
      <c r="P208" s="549"/>
      <c r="Q208" s="549"/>
      <c r="S208" s="551"/>
      <c r="T208" s="549"/>
    </row>
    <row r="209" spans="1:20" s="550" customFormat="1" ht="21.75" customHeight="1">
      <c r="A209" s="552" t="s">
        <v>815</v>
      </c>
      <c r="B209" s="1350" t="s">
        <v>816</v>
      </c>
      <c r="C209" s="1351"/>
      <c r="D209" s="1352"/>
      <c r="E209" s="553" t="s">
        <v>794</v>
      </c>
      <c r="F209" s="554">
        <v>1300</v>
      </c>
      <c r="G209" s="555">
        <v>4643</v>
      </c>
      <c r="H209" s="556">
        <f t="shared" si="16"/>
        <v>6035900</v>
      </c>
      <c r="I209" s="557">
        <v>1300</v>
      </c>
      <c r="J209" s="555">
        <v>4640</v>
      </c>
      <c r="K209" s="558">
        <f t="shared" si="18"/>
        <v>6032000</v>
      </c>
      <c r="L209" s="545">
        <f>'[3]ACTA MOD. reformulacion'!K200</f>
        <v>1300</v>
      </c>
      <c r="M209" s="546">
        <v>4640</v>
      </c>
      <c r="N209" s="547">
        <f t="shared" si="17"/>
        <v>6032000</v>
      </c>
      <c r="O209" s="559" t="s">
        <v>771</v>
      </c>
      <c r="P209" s="549"/>
      <c r="Q209" s="549"/>
      <c r="S209" s="551"/>
      <c r="T209" s="549"/>
    </row>
    <row r="210" spans="1:20" s="550" customFormat="1" ht="24" customHeight="1">
      <c r="A210" s="552" t="s">
        <v>817</v>
      </c>
      <c r="B210" s="1350" t="s">
        <v>818</v>
      </c>
      <c r="C210" s="1351"/>
      <c r="D210" s="1352"/>
      <c r="E210" s="553" t="s">
        <v>571</v>
      </c>
      <c r="F210" s="554">
        <v>2</v>
      </c>
      <c r="G210" s="555">
        <v>140000</v>
      </c>
      <c r="H210" s="556">
        <f t="shared" si="16"/>
        <v>280000</v>
      </c>
      <c r="I210" s="557">
        <v>2</v>
      </c>
      <c r="J210" s="555">
        <v>140000</v>
      </c>
      <c r="K210" s="558">
        <f t="shared" si="18"/>
        <v>280000</v>
      </c>
      <c r="L210" s="545">
        <f>'[3]ACTA MOD. reformulacion'!K201</f>
        <v>2</v>
      </c>
      <c r="M210" s="546">
        <v>140000</v>
      </c>
      <c r="N210" s="547">
        <f t="shared" si="17"/>
        <v>280000</v>
      </c>
      <c r="O210" s="559" t="s">
        <v>771</v>
      </c>
      <c r="P210" s="549"/>
      <c r="Q210" s="549"/>
      <c r="S210" s="551"/>
      <c r="T210" s="549"/>
    </row>
    <row r="211" spans="1:20" s="550" customFormat="1" ht="21.75" customHeight="1">
      <c r="A211" s="552" t="s">
        <v>819</v>
      </c>
      <c r="B211" s="1350" t="s">
        <v>820</v>
      </c>
      <c r="C211" s="1351"/>
      <c r="D211" s="1352"/>
      <c r="E211" s="553" t="s">
        <v>571</v>
      </c>
      <c r="F211" s="554">
        <v>2</v>
      </c>
      <c r="G211" s="555">
        <v>36000</v>
      </c>
      <c r="H211" s="556">
        <f t="shared" si="16"/>
        <v>72000</v>
      </c>
      <c r="I211" s="557">
        <v>2</v>
      </c>
      <c r="J211" s="555">
        <v>36000</v>
      </c>
      <c r="K211" s="558">
        <f t="shared" si="18"/>
        <v>72000</v>
      </c>
      <c r="L211" s="545">
        <f>'[3]ACTA MOD. reformulacion'!K202</f>
        <v>2</v>
      </c>
      <c r="M211" s="546">
        <v>36000</v>
      </c>
      <c r="N211" s="547">
        <f t="shared" si="17"/>
        <v>72000</v>
      </c>
      <c r="O211" s="559" t="s">
        <v>771</v>
      </c>
      <c r="P211" s="549"/>
      <c r="Q211" s="549"/>
      <c r="S211" s="551"/>
      <c r="T211" s="549"/>
    </row>
    <row r="212" spans="1:20" s="550" customFormat="1" ht="21.75" customHeight="1">
      <c r="A212" s="552" t="s">
        <v>821</v>
      </c>
      <c r="B212" s="1350" t="s">
        <v>822</v>
      </c>
      <c r="C212" s="1351"/>
      <c r="D212" s="1352"/>
      <c r="E212" s="553" t="s">
        <v>571</v>
      </c>
      <c r="F212" s="554">
        <v>4</v>
      </c>
      <c r="G212" s="555">
        <v>1800</v>
      </c>
      <c r="H212" s="556">
        <f t="shared" si="16"/>
        <v>7200</v>
      </c>
      <c r="I212" s="557">
        <v>4</v>
      </c>
      <c r="J212" s="555">
        <v>1800</v>
      </c>
      <c r="K212" s="558">
        <f t="shared" si="18"/>
        <v>7200</v>
      </c>
      <c r="L212" s="545">
        <f>'[3]ACTA MOD. reformulacion'!K203</f>
        <v>4</v>
      </c>
      <c r="M212" s="546">
        <v>1800</v>
      </c>
      <c r="N212" s="547">
        <f t="shared" si="17"/>
        <v>7200</v>
      </c>
      <c r="O212" s="559" t="s">
        <v>771</v>
      </c>
      <c r="P212" s="549"/>
      <c r="Q212" s="549"/>
      <c r="S212" s="551"/>
      <c r="T212" s="549"/>
    </row>
    <row r="213" spans="1:20" s="550" customFormat="1" ht="23.25" customHeight="1">
      <c r="A213" s="552" t="s">
        <v>823</v>
      </c>
      <c r="B213" s="1350" t="s">
        <v>824</v>
      </c>
      <c r="C213" s="1351"/>
      <c r="D213" s="1352"/>
      <c r="E213" s="553" t="s">
        <v>571</v>
      </c>
      <c r="F213" s="554">
        <v>2</v>
      </c>
      <c r="G213" s="555">
        <v>3200</v>
      </c>
      <c r="H213" s="556">
        <f t="shared" si="16"/>
        <v>6400</v>
      </c>
      <c r="I213" s="557">
        <v>2</v>
      </c>
      <c r="J213" s="555">
        <v>3200</v>
      </c>
      <c r="K213" s="558">
        <f t="shared" si="18"/>
        <v>6400</v>
      </c>
      <c r="L213" s="545">
        <f>'[3]ACTA MOD. reformulacion'!K204</f>
        <v>2</v>
      </c>
      <c r="M213" s="546">
        <v>3200</v>
      </c>
      <c r="N213" s="547">
        <f t="shared" si="17"/>
        <v>6400</v>
      </c>
      <c r="O213" s="559" t="s">
        <v>771</v>
      </c>
      <c r="P213" s="549"/>
      <c r="Q213" s="549"/>
      <c r="S213" s="551"/>
      <c r="T213" s="549"/>
    </row>
    <row r="214" spans="1:20" s="550" customFormat="1" ht="24" customHeight="1">
      <c r="A214" s="552" t="s">
        <v>825</v>
      </c>
      <c r="B214" s="1350" t="s">
        <v>826</v>
      </c>
      <c r="C214" s="1351"/>
      <c r="D214" s="1352"/>
      <c r="E214" s="553" t="s">
        <v>571</v>
      </c>
      <c r="F214" s="554">
        <v>8</v>
      </c>
      <c r="G214" s="555">
        <v>200</v>
      </c>
      <c r="H214" s="556">
        <f t="shared" si="16"/>
        <v>1600</v>
      </c>
      <c r="I214" s="557">
        <v>8</v>
      </c>
      <c r="J214" s="555">
        <v>200</v>
      </c>
      <c r="K214" s="558">
        <f t="shared" si="18"/>
        <v>1600</v>
      </c>
      <c r="L214" s="545">
        <f>'[3]ACTA MOD. reformulacion'!K205</f>
        <v>8</v>
      </c>
      <c r="M214" s="546">
        <v>200</v>
      </c>
      <c r="N214" s="547">
        <f t="shared" si="17"/>
        <v>1600</v>
      </c>
      <c r="O214" s="559" t="s">
        <v>771</v>
      </c>
      <c r="P214" s="549"/>
      <c r="Q214" s="549"/>
      <c r="S214" s="551"/>
      <c r="T214" s="549"/>
    </row>
    <row r="215" spans="1:20" s="550" customFormat="1" ht="21.75" customHeight="1">
      <c r="A215" s="552" t="s">
        <v>827</v>
      </c>
      <c r="B215" s="1350" t="s">
        <v>828</v>
      </c>
      <c r="C215" s="1351"/>
      <c r="D215" s="1352"/>
      <c r="E215" s="553" t="s">
        <v>571</v>
      </c>
      <c r="F215" s="554">
        <v>8</v>
      </c>
      <c r="G215" s="555">
        <v>1200</v>
      </c>
      <c r="H215" s="556">
        <f t="shared" si="16"/>
        <v>9600</v>
      </c>
      <c r="I215" s="557">
        <v>8</v>
      </c>
      <c r="J215" s="555">
        <v>1200</v>
      </c>
      <c r="K215" s="558">
        <f t="shared" si="18"/>
        <v>9600</v>
      </c>
      <c r="L215" s="545">
        <f>'[3]ACTA MOD. reformulacion'!K206</f>
        <v>8</v>
      </c>
      <c r="M215" s="546">
        <v>1200</v>
      </c>
      <c r="N215" s="547">
        <f t="shared" si="17"/>
        <v>9600</v>
      </c>
      <c r="O215" s="559" t="s">
        <v>771</v>
      </c>
      <c r="P215" s="549"/>
      <c r="Q215" s="549"/>
      <c r="S215" s="551"/>
      <c r="T215" s="549"/>
    </row>
    <row r="216" spans="1:20" s="550" customFormat="1" ht="22.5" customHeight="1">
      <c r="A216" s="552" t="s">
        <v>829</v>
      </c>
      <c r="B216" s="1350" t="s">
        <v>830</v>
      </c>
      <c r="C216" s="1351"/>
      <c r="D216" s="1352"/>
      <c r="E216" s="553" t="s">
        <v>571</v>
      </c>
      <c r="F216" s="554">
        <v>2</v>
      </c>
      <c r="G216" s="555">
        <v>16500</v>
      </c>
      <c r="H216" s="556">
        <f t="shared" si="16"/>
        <v>33000</v>
      </c>
      <c r="I216" s="557">
        <v>2</v>
      </c>
      <c r="J216" s="555">
        <v>16500</v>
      </c>
      <c r="K216" s="558">
        <f t="shared" si="18"/>
        <v>33000</v>
      </c>
      <c r="L216" s="545">
        <f>'[3]ACTA MOD. reformulacion'!K207</f>
        <v>2</v>
      </c>
      <c r="M216" s="546">
        <v>16500</v>
      </c>
      <c r="N216" s="547">
        <f t="shared" si="17"/>
        <v>33000</v>
      </c>
      <c r="O216" s="559" t="s">
        <v>771</v>
      </c>
      <c r="P216" s="549"/>
      <c r="Q216" s="549"/>
      <c r="S216" s="551"/>
      <c r="T216" s="549"/>
    </row>
    <row r="217" spans="1:20" s="550" customFormat="1" ht="22.5" customHeight="1">
      <c r="A217" s="552" t="s">
        <v>831</v>
      </c>
      <c r="B217" s="1350" t="s">
        <v>832</v>
      </c>
      <c r="C217" s="1351"/>
      <c r="D217" s="1352"/>
      <c r="E217" s="553" t="s">
        <v>571</v>
      </c>
      <c r="F217" s="554">
        <v>2</v>
      </c>
      <c r="G217" s="555">
        <v>24000</v>
      </c>
      <c r="H217" s="556">
        <f t="shared" si="16"/>
        <v>48000</v>
      </c>
      <c r="I217" s="557">
        <v>2</v>
      </c>
      <c r="J217" s="555">
        <v>24000</v>
      </c>
      <c r="K217" s="558">
        <f t="shared" si="18"/>
        <v>48000</v>
      </c>
      <c r="L217" s="545">
        <f>'[3]ACTA MOD. reformulacion'!K208</f>
        <v>2</v>
      </c>
      <c r="M217" s="546">
        <v>24000</v>
      </c>
      <c r="N217" s="547">
        <f t="shared" si="17"/>
        <v>48000</v>
      </c>
      <c r="O217" s="559" t="s">
        <v>771</v>
      </c>
      <c r="P217" s="549"/>
      <c r="Q217" s="549"/>
      <c r="S217" s="551"/>
      <c r="T217" s="549"/>
    </row>
    <row r="218" spans="1:20" s="550" customFormat="1" ht="21" customHeight="1">
      <c r="A218" s="552" t="s">
        <v>833</v>
      </c>
      <c r="B218" s="1350" t="s">
        <v>834</v>
      </c>
      <c r="C218" s="1351"/>
      <c r="D218" s="1352"/>
      <c r="E218" s="553" t="s">
        <v>571</v>
      </c>
      <c r="F218" s="554">
        <v>1</v>
      </c>
      <c r="G218" s="555">
        <v>350000</v>
      </c>
      <c r="H218" s="556">
        <f t="shared" si="16"/>
        <v>350000</v>
      </c>
      <c r="I218" s="557">
        <v>1</v>
      </c>
      <c r="J218" s="555">
        <v>350000</v>
      </c>
      <c r="K218" s="558">
        <f t="shared" si="18"/>
        <v>350000</v>
      </c>
      <c r="L218" s="545">
        <f>'[3]ACTA MOD. reformulacion'!K209</f>
        <v>1</v>
      </c>
      <c r="M218" s="546">
        <v>350000</v>
      </c>
      <c r="N218" s="547">
        <f t="shared" si="17"/>
        <v>350000</v>
      </c>
      <c r="O218" s="559" t="s">
        <v>771</v>
      </c>
      <c r="P218" s="549"/>
      <c r="Q218" s="549"/>
      <c r="S218" s="551"/>
      <c r="T218" s="549"/>
    </row>
    <row r="219" spans="1:20" s="550" customFormat="1" ht="22.5" customHeight="1">
      <c r="A219" s="552" t="s">
        <v>835</v>
      </c>
      <c r="B219" s="1350" t="s">
        <v>836</v>
      </c>
      <c r="C219" s="1351"/>
      <c r="D219" s="1352"/>
      <c r="E219" s="553" t="s">
        <v>571</v>
      </c>
      <c r="F219" s="554">
        <v>1</v>
      </c>
      <c r="G219" s="555">
        <v>4715953</v>
      </c>
      <c r="H219" s="556">
        <f t="shared" si="16"/>
        <v>4715953</v>
      </c>
      <c r="I219" s="557">
        <v>1</v>
      </c>
      <c r="J219" s="555">
        <v>4715950</v>
      </c>
      <c r="K219" s="558">
        <f t="shared" si="18"/>
        <v>4715950</v>
      </c>
      <c r="L219" s="545">
        <f>'[3]ACTA MOD. reformulacion'!K210</f>
        <v>1</v>
      </c>
      <c r="M219" s="546">
        <v>4715950</v>
      </c>
      <c r="N219" s="547">
        <f t="shared" si="17"/>
        <v>4715950</v>
      </c>
      <c r="O219" s="559" t="s">
        <v>771</v>
      </c>
      <c r="P219" s="549"/>
      <c r="Q219" s="549"/>
      <c r="S219" s="551"/>
      <c r="T219" s="549"/>
    </row>
    <row r="220" spans="1:20" s="550" customFormat="1" ht="24.75" customHeight="1">
      <c r="A220" s="552" t="s">
        <v>837</v>
      </c>
      <c r="B220" s="1350" t="s">
        <v>838</v>
      </c>
      <c r="C220" s="1351"/>
      <c r="D220" s="1352"/>
      <c r="E220" s="553" t="s">
        <v>571</v>
      </c>
      <c r="F220" s="554">
        <v>2</v>
      </c>
      <c r="G220" s="555">
        <v>4800</v>
      </c>
      <c r="H220" s="556">
        <f t="shared" si="16"/>
        <v>9600</v>
      </c>
      <c r="I220" s="557">
        <v>2</v>
      </c>
      <c r="J220" s="555">
        <v>4800</v>
      </c>
      <c r="K220" s="558">
        <f t="shared" si="18"/>
        <v>9600</v>
      </c>
      <c r="L220" s="545">
        <f>'[3]ACTA MOD. reformulacion'!K211</f>
        <v>2</v>
      </c>
      <c r="M220" s="546">
        <v>4800</v>
      </c>
      <c r="N220" s="547">
        <f t="shared" si="17"/>
        <v>9600</v>
      </c>
      <c r="O220" s="559" t="s">
        <v>771</v>
      </c>
      <c r="P220" s="549"/>
      <c r="Q220" s="549"/>
      <c r="S220" s="551"/>
      <c r="T220" s="549"/>
    </row>
    <row r="221" spans="1:20" s="550" customFormat="1" ht="21.75" customHeight="1">
      <c r="A221" s="552" t="s">
        <v>839</v>
      </c>
      <c r="B221" s="1350" t="s">
        <v>840</v>
      </c>
      <c r="C221" s="1351"/>
      <c r="D221" s="1352"/>
      <c r="E221" s="553" t="s">
        <v>794</v>
      </c>
      <c r="F221" s="554">
        <v>120</v>
      </c>
      <c r="G221" s="555">
        <v>6167</v>
      </c>
      <c r="H221" s="556">
        <f t="shared" si="16"/>
        <v>740040</v>
      </c>
      <c r="I221" s="557">
        <v>120</v>
      </c>
      <c r="J221" s="555">
        <v>6165</v>
      </c>
      <c r="K221" s="558">
        <f t="shared" si="18"/>
        <v>739800</v>
      </c>
      <c r="L221" s="545">
        <f>'[3]ACTA MOD. reformulacion'!K212</f>
        <v>120</v>
      </c>
      <c r="M221" s="546">
        <v>6165</v>
      </c>
      <c r="N221" s="547">
        <f t="shared" si="17"/>
        <v>739800</v>
      </c>
      <c r="O221" s="559" t="s">
        <v>771</v>
      </c>
      <c r="P221" s="549"/>
      <c r="Q221" s="549"/>
      <c r="S221" s="551"/>
      <c r="T221" s="549"/>
    </row>
    <row r="222" spans="1:20" s="550" customFormat="1" ht="21" customHeight="1">
      <c r="A222" s="552" t="s">
        <v>841</v>
      </c>
      <c r="B222" s="1350" t="s">
        <v>842</v>
      </c>
      <c r="C222" s="1351"/>
      <c r="D222" s="1352"/>
      <c r="E222" s="553" t="s">
        <v>794</v>
      </c>
      <c r="F222" s="554">
        <v>6</v>
      </c>
      <c r="G222" s="555">
        <v>4200</v>
      </c>
      <c r="H222" s="556">
        <f t="shared" si="16"/>
        <v>25200</v>
      </c>
      <c r="I222" s="557">
        <v>6</v>
      </c>
      <c r="J222" s="555">
        <v>4200</v>
      </c>
      <c r="K222" s="558">
        <f t="shared" si="18"/>
        <v>25200</v>
      </c>
      <c r="L222" s="545">
        <f>'[3]ACTA MOD. reformulacion'!K213</f>
        <v>6</v>
      </c>
      <c r="M222" s="546">
        <v>4200</v>
      </c>
      <c r="N222" s="547">
        <f t="shared" si="17"/>
        <v>25200</v>
      </c>
      <c r="O222" s="559" t="s">
        <v>771</v>
      </c>
      <c r="P222" s="549"/>
      <c r="Q222" s="549"/>
      <c r="S222" s="551"/>
      <c r="T222" s="549"/>
    </row>
    <row r="223" spans="1:20" s="550" customFormat="1" ht="21.75" customHeight="1">
      <c r="A223" s="552" t="s">
        <v>843</v>
      </c>
      <c r="B223" s="1350" t="s">
        <v>844</v>
      </c>
      <c r="C223" s="1351"/>
      <c r="D223" s="1352"/>
      <c r="E223" s="553" t="s">
        <v>571</v>
      </c>
      <c r="F223" s="554">
        <v>6</v>
      </c>
      <c r="G223" s="555">
        <v>1000</v>
      </c>
      <c r="H223" s="556">
        <f t="shared" si="16"/>
        <v>6000</v>
      </c>
      <c r="I223" s="557">
        <v>6</v>
      </c>
      <c r="J223" s="555">
        <v>1000</v>
      </c>
      <c r="K223" s="558">
        <f t="shared" si="18"/>
        <v>6000</v>
      </c>
      <c r="L223" s="545">
        <f>'[3]ACTA MOD. reformulacion'!K214</f>
        <v>6</v>
      </c>
      <c r="M223" s="546">
        <v>1000</v>
      </c>
      <c r="N223" s="547">
        <f t="shared" si="17"/>
        <v>6000</v>
      </c>
      <c r="O223" s="559" t="s">
        <v>771</v>
      </c>
      <c r="P223" s="549"/>
      <c r="Q223" s="549"/>
      <c r="S223" s="551"/>
      <c r="T223" s="549"/>
    </row>
    <row r="224" spans="1:20" s="550" customFormat="1" ht="23.25" customHeight="1">
      <c r="A224" s="552" t="s">
        <v>845</v>
      </c>
      <c r="B224" s="1350" t="s">
        <v>846</v>
      </c>
      <c r="C224" s="1351"/>
      <c r="D224" s="1352"/>
      <c r="E224" s="553" t="s">
        <v>571</v>
      </c>
      <c r="F224" s="554">
        <v>2</v>
      </c>
      <c r="G224" s="555">
        <v>19500</v>
      </c>
      <c r="H224" s="556">
        <f t="shared" si="16"/>
        <v>39000</v>
      </c>
      <c r="I224" s="557">
        <v>2</v>
      </c>
      <c r="J224" s="555">
        <v>19500</v>
      </c>
      <c r="K224" s="558">
        <f t="shared" si="18"/>
        <v>39000</v>
      </c>
      <c r="L224" s="545">
        <f>'[3]ACTA MOD. reformulacion'!K215</f>
        <v>2</v>
      </c>
      <c r="M224" s="546">
        <v>19500</v>
      </c>
      <c r="N224" s="547">
        <f t="shared" si="17"/>
        <v>39000</v>
      </c>
      <c r="O224" s="559" t="s">
        <v>771</v>
      </c>
      <c r="P224" s="549"/>
      <c r="Q224" s="549"/>
      <c r="S224" s="551"/>
      <c r="T224" s="549"/>
    </row>
    <row r="225" spans="1:20" s="550" customFormat="1" ht="24.75" customHeight="1">
      <c r="A225" s="552" t="s">
        <v>847</v>
      </c>
      <c r="B225" s="1350" t="s">
        <v>848</v>
      </c>
      <c r="C225" s="1351"/>
      <c r="D225" s="1352"/>
      <c r="E225" s="553" t="s">
        <v>571</v>
      </c>
      <c r="F225" s="554">
        <v>4</v>
      </c>
      <c r="G225" s="555">
        <v>7300</v>
      </c>
      <c r="H225" s="556">
        <f t="shared" si="16"/>
        <v>29200</v>
      </c>
      <c r="I225" s="557">
        <v>4</v>
      </c>
      <c r="J225" s="555">
        <v>7300</v>
      </c>
      <c r="K225" s="558">
        <f t="shared" si="18"/>
        <v>29200</v>
      </c>
      <c r="L225" s="545">
        <f>'[3]ACTA MOD. reformulacion'!K216</f>
        <v>4</v>
      </c>
      <c r="M225" s="546">
        <v>7300</v>
      </c>
      <c r="N225" s="547">
        <f t="shared" si="17"/>
        <v>29200</v>
      </c>
      <c r="O225" s="559" t="s">
        <v>771</v>
      </c>
      <c r="P225" s="549"/>
      <c r="Q225" s="549"/>
      <c r="S225" s="551"/>
      <c r="T225" s="549"/>
    </row>
    <row r="226" spans="1:20" s="550" customFormat="1" ht="24" customHeight="1">
      <c r="A226" s="552" t="s">
        <v>849</v>
      </c>
      <c r="B226" s="1350" t="s">
        <v>850</v>
      </c>
      <c r="C226" s="1351"/>
      <c r="D226" s="1352"/>
      <c r="E226" s="553" t="s">
        <v>571</v>
      </c>
      <c r="F226" s="554">
        <v>2</v>
      </c>
      <c r="G226" s="555">
        <v>17200</v>
      </c>
      <c r="H226" s="556">
        <f t="shared" si="16"/>
        <v>34400</v>
      </c>
      <c r="I226" s="557">
        <v>2</v>
      </c>
      <c r="J226" s="555">
        <v>17200</v>
      </c>
      <c r="K226" s="558">
        <f t="shared" si="18"/>
        <v>34400</v>
      </c>
      <c r="L226" s="545">
        <f>'[3]ACTA MOD. reformulacion'!K217</f>
        <v>2</v>
      </c>
      <c r="M226" s="546">
        <v>17200</v>
      </c>
      <c r="N226" s="547">
        <f t="shared" si="17"/>
        <v>34400</v>
      </c>
      <c r="O226" s="559" t="s">
        <v>771</v>
      </c>
      <c r="P226" s="549"/>
      <c r="Q226" s="549"/>
      <c r="S226" s="551"/>
      <c r="T226" s="549"/>
    </row>
    <row r="227" spans="1:20" s="550" customFormat="1" ht="24.75" customHeight="1">
      <c r="A227" s="552" t="s">
        <v>851</v>
      </c>
      <c r="B227" s="1350" t="s">
        <v>852</v>
      </c>
      <c r="C227" s="1351"/>
      <c r="D227" s="1352"/>
      <c r="E227" s="553" t="s">
        <v>571</v>
      </c>
      <c r="F227" s="554">
        <v>2</v>
      </c>
      <c r="G227" s="555">
        <v>160000</v>
      </c>
      <c r="H227" s="556">
        <f t="shared" si="16"/>
        <v>320000</v>
      </c>
      <c r="I227" s="557">
        <v>2</v>
      </c>
      <c r="J227" s="555">
        <v>160000</v>
      </c>
      <c r="K227" s="558">
        <f t="shared" si="18"/>
        <v>320000</v>
      </c>
      <c r="L227" s="545">
        <f>'[3]ACTA MOD. reformulacion'!K218</f>
        <v>2</v>
      </c>
      <c r="M227" s="546">
        <v>160000</v>
      </c>
      <c r="N227" s="547">
        <f t="shared" si="17"/>
        <v>320000</v>
      </c>
      <c r="O227" s="559" t="s">
        <v>771</v>
      </c>
      <c r="P227" s="549"/>
      <c r="Q227" s="549"/>
      <c r="S227" s="551"/>
      <c r="T227" s="549"/>
    </row>
    <row r="228" spans="1:20" s="550" customFormat="1" ht="25.5" customHeight="1">
      <c r="A228" s="552" t="s">
        <v>853</v>
      </c>
      <c r="B228" s="1350" t="s">
        <v>806</v>
      </c>
      <c r="C228" s="1351"/>
      <c r="D228" s="1352"/>
      <c r="E228" s="553" t="s">
        <v>571</v>
      </c>
      <c r="F228" s="554">
        <v>2</v>
      </c>
      <c r="G228" s="555">
        <v>165000</v>
      </c>
      <c r="H228" s="556">
        <f t="shared" si="16"/>
        <v>330000</v>
      </c>
      <c r="I228" s="557">
        <v>2</v>
      </c>
      <c r="J228" s="555">
        <v>165000</v>
      </c>
      <c r="K228" s="558">
        <f t="shared" si="18"/>
        <v>330000</v>
      </c>
      <c r="L228" s="545">
        <f>'[3]ACTA MOD. reformulacion'!K219</f>
        <v>2</v>
      </c>
      <c r="M228" s="546">
        <v>165000</v>
      </c>
      <c r="N228" s="547">
        <f t="shared" si="17"/>
        <v>330000</v>
      </c>
      <c r="O228" s="559" t="s">
        <v>771</v>
      </c>
      <c r="P228" s="549"/>
      <c r="Q228" s="549"/>
      <c r="S228" s="551"/>
      <c r="T228" s="549"/>
    </row>
    <row r="229" spans="1:20" s="550" customFormat="1" ht="25.5" customHeight="1">
      <c r="A229" s="552" t="s">
        <v>854</v>
      </c>
      <c r="B229" s="1350" t="s">
        <v>855</v>
      </c>
      <c r="C229" s="1351"/>
      <c r="D229" s="1352"/>
      <c r="E229" s="553" t="s">
        <v>571</v>
      </c>
      <c r="F229" s="554">
        <v>1</v>
      </c>
      <c r="G229" s="555">
        <v>79000</v>
      </c>
      <c r="H229" s="556">
        <f t="shared" si="16"/>
        <v>79000</v>
      </c>
      <c r="I229" s="557">
        <v>1</v>
      </c>
      <c r="J229" s="555">
        <v>79000</v>
      </c>
      <c r="K229" s="558">
        <f t="shared" si="18"/>
        <v>79000</v>
      </c>
      <c r="L229" s="545">
        <f>'[3]ACTA MOD. reformulacion'!K220</f>
        <v>1</v>
      </c>
      <c r="M229" s="546">
        <v>79000</v>
      </c>
      <c r="N229" s="547">
        <f t="shared" si="17"/>
        <v>79000</v>
      </c>
      <c r="O229" s="559" t="s">
        <v>771</v>
      </c>
      <c r="P229" s="549"/>
      <c r="Q229" s="549"/>
      <c r="S229" s="551"/>
      <c r="T229" s="549"/>
    </row>
    <row r="230" spans="1:20" s="550" customFormat="1" ht="24" customHeight="1">
      <c r="A230" s="552" t="s">
        <v>856</v>
      </c>
      <c r="B230" s="1350" t="s">
        <v>857</v>
      </c>
      <c r="C230" s="1351"/>
      <c r="D230" s="1352"/>
      <c r="E230" s="553" t="s">
        <v>571</v>
      </c>
      <c r="F230" s="554">
        <v>4</v>
      </c>
      <c r="G230" s="555">
        <v>12000</v>
      </c>
      <c r="H230" s="556">
        <f t="shared" si="16"/>
        <v>48000</v>
      </c>
      <c r="I230" s="557">
        <v>4</v>
      </c>
      <c r="J230" s="555">
        <v>12000</v>
      </c>
      <c r="K230" s="558">
        <f t="shared" si="18"/>
        <v>48000</v>
      </c>
      <c r="L230" s="545">
        <f>'[3]ACTA MOD. reformulacion'!K221</f>
        <v>4</v>
      </c>
      <c r="M230" s="546">
        <v>12000</v>
      </c>
      <c r="N230" s="547">
        <f t="shared" si="17"/>
        <v>48000</v>
      </c>
      <c r="O230" s="559" t="s">
        <v>771</v>
      </c>
      <c r="P230" s="549"/>
      <c r="Q230" s="549"/>
      <c r="S230" s="551"/>
      <c r="T230" s="549"/>
    </row>
    <row r="231" spans="1:20" s="550" customFormat="1" ht="25.5" customHeight="1">
      <c r="A231" s="552" t="s">
        <v>858</v>
      </c>
      <c r="B231" s="1350" t="s">
        <v>859</v>
      </c>
      <c r="C231" s="1351"/>
      <c r="D231" s="1352"/>
      <c r="E231" s="553" t="s">
        <v>571</v>
      </c>
      <c r="F231" s="554">
        <v>2</v>
      </c>
      <c r="G231" s="555">
        <v>4500</v>
      </c>
      <c r="H231" s="556">
        <f t="shared" si="16"/>
        <v>9000</v>
      </c>
      <c r="I231" s="557">
        <v>2</v>
      </c>
      <c r="J231" s="555">
        <v>4500</v>
      </c>
      <c r="K231" s="558">
        <f t="shared" si="18"/>
        <v>9000</v>
      </c>
      <c r="L231" s="545">
        <f>'[3]ACTA MOD. reformulacion'!K222</f>
        <v>2</v>
      </c>
      <c r="M231" s="546">
        <v>4500</v>
      </c>
      <c r="N231" s="547">
        <f t="shared" si="17"/>
        <v>9000</v>
      </c>
      <c r="O231" s="559" t="s">
        <v>771</v>
      </c>
      <c r="P231" s="549"/>
      <c r="Q231" s="549"/>
      <c r="S231" s="551"/>
      <c r="T231" s="549"/>
    </row>
    <row r="232" spans="1:20" s="550" customFormat="1" ht="27" customHeight="1">
      <c r="A232" s="552" t="s">
        <v>860</v>
      </c>
      <c r="B232" s="1350" t="s">
        <v>861</v>
      </c>
      <c r="C232" s="1351"/>
      <c r="D232" s="1352"/>
      <c r="E232" s="553" t="s">
        <v>571</v>
      </c>
      <c r="F232" s="554">
        <v>1</v>
      </c>
      <c r="G232" s="555">
        <v>14000</v>
      </c>
      <c r="H232" s="556">
        <f t="shared" si="16"/>
        <v>14000</v>
      </c>
      <c r="I232" s="557">
        <v>1</v>
      </c>
      <c r="J232" s="555">
        <v>14000</v>
      </c>
      <c r="K232" s="558">
        <f t="shared" si="18"/>
        <v>14000</v>
      </c>
      <c r="L232" s="545">
        <f>'[3]ACTA MOD. reformulacion'!K223</f>
        <v>1</v>
      </c>
      <c r="M232" s="546">
        <v>14000</v>
      </c>
      <c r="N232" s="547">
        <f t="shared" si="17"/>
        <v>14000</v>
      </c>
      <c r="O232" s="559" t="s">
        <v>771</v>
      </c>
      <c r="P232" s="549"/>
      <c r="Q232" s="549"/>
      <c r="S232" s="551"/>
      <c r="T232" s="549"/>
    </row>
    <row r="233" spans="1:20" s="550" customFormat="1" ht="24.75" customHeight="1">
      <c r="A233" s="552" t="s">
        <v>862</v>
      </c>
      <c r="B233" s="1350" t="s">
        <v>863</v>
      </c>
      <c r="C233" s="1351"/>
      <c r="D233" s="1352"/>
      <c r="E233" s="553" t="s">
        <v>571</v>
      </c>
      <c r="F233" s="554">
        <v>1</v>
      </c>
      <c r="G233" s="555">
        <v>63000</v>
      </c>
      <c r="H233" s="556">
        <f t="shared" si="16"/>
        <v>63000</v>
      </c>
      <c r="I233" s="557">
        <v>1</v>
      </c>
      <c r="J233" s="555">
        <v>63000</v>
      </c>
      <c r="K233" s="558">
        <f t="shared" si="18"/>
        <v>63000</v>
      </c>
      <c r="L233" s="545">
        <f>'[3]ACTA MOD. reformulacion'!K224</f>
        <v>1</v>
      </c>
      <c r="M233" s="546">
        <v>63000</v>
      </c>
      <c r="N233" s="547">
        <f t="shared" si="17"/>
        <v>63000</v>
      </c>
      <c r="O233" s="559" t="s">
        <v>771</v>
      </c>
      <c r="P233" s="549"/>
      <c r="Q233" s="549"/>
      <c r="S233" s="551"/>
      <c r="T233" s="549"/>
    </row>
    <row r="234" spans="1:20" s="550" customFormat="1" ht="24.75" customHeight="1">
      <c r="A234" s="552" t="s">
        <v>864</v>
      </c>
      <c r="B234" s="1350" t="s">
        <v>865</v>
      </c>
      <c r="C234" s="1351"/>
      <c r="D234" s="1352"/>
      <c r="E234" s="553" t="s">
        <v>571</v>
      </c>
      <c r="F234" s="554">
        <v>1</v>
      </c>
      <c r="G234" s="555">
        <v>222481</v>
      </c>
      <c r="H234" s="556">
        <f t="shared" si="16"/>
        <v>222481</v>
      </c>
      <c r="I234" s="557">
        <v>1</v>
      </c>
      <c r="J234" s="555">
        <v>222480</v>
      </c>
      <c r="K234" s="558">
        <f t="shared" si="18"/>
        <v>222480</v>
      </c>
      <c r="L234" s="545">
        <f>'[3]ACTA MOD. reformulacion'!K225</f>
        <v>1</v>
      </c>
      <c r="M234" s="546">
        <v>222480</v>
      </c>
      <c r="N234" s="547">
        <f t="shared" si="17"/>
        <v>222480</v>
      </c>
      <c r="O234" s="559" t="s">
        <v>771</v>
      </c>
      <c r="P234" s="549"/>
      <c r="Q234" s="549"/>
      <c r="S234" s="551"/>
      <c r="T234" s="549"/>
    </row>
    <row r="235" spans="1:20" s="550" customFormat="1" ht="24" customHeight="1">
      <c r="A235" s="552" t="s">
        <v>866</v>
      </c>
      <c r="B235" s="1350" t="s">
        <v>867</v>
      </c>
      <c r="C235" s="1351"/>
      <c r="D235" s="1352"/>
      <c r="E235" s="553" t="s">
        <v>571</v>
      </c>
      <c r="F235" s="554">
        <v>2</v>
      </c>
      <c r="G235" s="555">
        <v>5800</v>
      </c>
      <c r="H235" s="556">
        <f t="shared" si="16"/>
        <v>11600</v>
      </c>
      <c r="I235" s="557">
        <v>2</v>
      </c>
      <c r="J235" s="555">
        <v>5800</v>
      </c>
      <c r="K235" s="558">
        <f t="shared" si="18"/>
        <v>11600</v>
      </c>
      <c r="L235" s="545">
        <f>'[3]ACTA MOD. reformulacion'!K226</f>
        <v>2</v>
      </c>
      <c r="M235" s="546">
        <v>5800</v>
      </c>
      <c r="N235" s="547">
        <f t="shared" si="17"/>
        <v>11600</v>
      </c>
      <c r="O235" s="559" t="s">
        <v>771</v>
      </c>
      <c r="P235" s="549"/>
      <c r="Q235" s="549"/>
      <c r="S235" s="551"/>
      <c r="T235" s="549"/>
    </row>
    <row r="236" spans="1:20" s="550" customFormat="1" ht="26.25" customHeight="1">
      <c r="A236" s="552" t="s">
        <v>868</v>
      </c>
      <c r="B236" s="1350" t="s">
        <v>869</v>
      </c>
      <c r="C236" s="1351"/>
      <c r="D236" s="1352"/>
      <c r="E236" s="553" t="s">
        <v>571</v>
      </c>
      <c r="F236" s="554">
        <v>5</v>
      </c>
      <c r="G236" s="555">
        <v>111267</v>
      </c>
      <c r="H236" s="556">
        <f t="shared" si="16"/>
        <v>556335</v>
      </c>
      <c r="I236" s="557">
        <v>5</v>
      </c>
      <c r="J236" s="555">
        <v>111265</v>
      </c>
      <c r="K236" s="558">
        <f t="shared" si="18"/>
        <v>556325</v>
      </c>
      <c r="L236" s="545">
        <f>'[3]ACTA MOD. reformulacion'!K227</f>
        <v>5</v>
      </c>
      <c r="M236" s="546">
        <v>111265</v>
      </c>
      <c r="N236" s="547">
        <f t="shared" si="17"/>
        <v>556325</v>
      </c>
      <c r="O236" s="559" t="s">
        <v>771</v>
      </c>
      <c r="P236" s="549"/>
      <c r="Q236" s="549"/>
      <c r="S236" s="551"/>
      <c r="T236" s="549"/>
    </row>
    <row r="237" spans="1:20" s="550" customFormat="1" ht="35.25" customHeight="1">
      <c r="A237" s="552" t="s">
        <v>870</v>
      </c>
      <c r="B237" s="1350" t="s">
        <v>871</v>
      </c>
      <c r="C237" s="1351"/>
      <c r="D237" s="1352"/>
      <c r="E237" s="553" t="s">
        <v>571</v>
      </c>
      <c r="F237" s="554">
        <v>5</v>
      </c>
      <c r="G237" s="555">
        <v>81516</v>
      </c>
      <c r="H237" s="556">
        <f t="shared" si="16"/>
        <v>407580</v>
      </c>
      <c r="I237" s="557">
        <v>5</v>
      </c>
      <c r="J237" s="555">
        <v>81515</v>
      </c>
      <c r="K237" s="558">
        <f t="shared" si="18"/>
        <v>407575</v>
      </c>
      <c r="L237" s="545">
        <f>'[3]ACTA MOD. reformulacion'!K228</f>
        <v>5</v>
      </c>
      <c r="M237" s="546">
        <v>81515</v>
      </c>
      <c r="N237" s="547">
        <f t="shared" si="17"/>
        <v>407575</v>
      </c>
      <c r="O237" s="559" t="s">
        <v>771</v>
      </c>
      <c r="P237" s="549"/>
      <c r="Q237" s="549"/>
      <c r="S237" s="551"/>
      <c r="T237" s="549"/>
    </row>
    <row r="238" spans="1:20" s="550" customFormat="1" ht="15.75" customHeight="1">
      <c r="A238" s="1418"/>
      <c r="B238" s="1402"/>
      <c r="C238" s="1402"/>
      <c r="D238" s="1403"/>
      <c r="E238" s="593"/>
      <c r="F238" s="1419" t="s">
        <v>872</v>
      </c>
      <c r="G238" s="1415"/>
      <c r="H238" s="594">
        <f>+SUM(H187:H237)</f>
        <v>21642868</v>
      </c>
      <c r="I238" s="1414" t="s">
        <v>872</v>
      </c>
      <c r="J238" s="1415"/>
      <c r="K238" s="623">
        <f>SUM(K187:K237)</f>
        <v>21638515</v>
      </c>
      <c r="L238" s="545">
        <f>'[3]ACTA MOD. reformulacion'!K229</f>
        <v>0</v>
      </c>
      <c r="M238" s="546">
        <v>0</v>
      </c>
      <c r="N238" s="594">
        <f>SUM(N187:N237)</f>
        <v>21638515</v>
      </c>
      <c r="O238" s="559"/>
      <c r="P238" s="549"/>
      <c r="Q238" s="549"/>
      <c r="S238" s="551"/>
      <c r="T238" s="549"/>
    </row>
    <row r="239" spans="1:20" s="550" customFormat="1" ht="17.25" customHeight="1">
      <c r="A239" s="595">
        <v>6.5</v>
      </c>
      <c r="B239" s="1423" t="s">
        <v>690</v>
      </c>
      <c r="C239" s="1424"/>
      <c r="D239" s="1425"/>
      <c r="E239" s="593"/>
      <c r="F239" s="596"/>
      <c r="G239" s="597"/>
      <c r="H239" s="594"/>
      <c r="I239" s="598"/>
      <c r="J239" s="597"/>
      <c r="K239" s="627"/>
      <c r="L239" s="545">
        <f>'[3]ACTA MOD. reformulacion'!K230</f>
        <v>0</v>
      </c>
      <c r="M239" s="546">
        <v>0</v>
      </c>
      <c r="N239" s="547"/>
      <c r="O239" s="559"/>
      <c r="P239" s="549"/>
      <c r="Q239" s="549"/>
      <c r="S239" s="551"/>
      <c r="T239" s="549"/>
    </row>
    <row r="240" spans="1:20" s="550" customFormat="1" ht="24" customHeight="1">
      <c r="A240" s="552" t="s">
        <v>873</v>
      </c>
      <c r="B240" s="1350" t="s">
        <v>692</v>
      </c>
      <c r="C240" s="1351"/>
      <c r="D240" s="1352"/>
      <c r="E240" s="553" t="s">
        <v>163</v>
      </c>
      <c r="F240" s="554">
        <v>62.3</v>
      </c>
      <c r="G240" s="555">
        <v>25358</v>
      </c>
      <c r="H240" s="556">
        <v>1579804</v>
      </c>
      <c r="I240" s="557">
        <v>62.3</v>
      </c>
      <c r="J240" s="555">
        <v>25355</v>
      </c>
      <c r="K240" s="558">
        <f>+ROUND(I240*J240,0)</f>
        <v>1579617</v>
      </c>
      <c r="L240" s="545">
        <f>'[3]ACTA MOD. reformulacion'!K231</f>
        <v>101.01600000000001</v>
      </c>
      <c r="M240" s="546">
        <v>25355</v>
      </c>
      <c r="N240" s="547">
        <f>ROUND(+L240*M240,0)</f>
        <v>2561261</v>
      </c>
      <c r="O240" s="559" t="s">
        <v>874</v>
      </c>
      <c r="P240" s="567">
        <f>101.02-62.3</f>
        <v>38.72</v>
      </c>
      <c r="Q240" s="549"/>
      <c r="S240" s="551"/>
      <c r="T240" s="549"/>
    </row>
    <row r="241" spans="1:20" s="550" customFormat="1" ht="16.5" customHeight="1">
      <c r="A241" s="552" t="s">
        <v>875</v>
      </c>
      <c r="B241" s="1350" t="s">
        <v>876</v>
      </c>
      <c r="C241" s="1351"/>
      <c r="D241" s="1352"/>
      <c r="E241" s="553" t="s">
        <v>162</v>
      </c>
      <c r="F241" s="554">
        <v>68</v>
      </c>
      <c r="G241" s="555">
        <v>35390</v>
      </c>
      <c r="H241" s="556">
        <f>+ROUND(F241*G241,0)</f>
        <v>2406520</v>
      </c>
      <c r="I241" s="557">
        <v>68</v>
      </c>
      <c r="J241" s="555">
        <v>35390</v>
      </c>
      <c r="K241" s="558">
        <f>+ROUND(I241*J241,0)</f>
        <v>2406520</v>
      </c>
      <c r="L241" s="545">
        <f>'[3]ACTA MOD. reformulacion'!K232</f>
        <v>69.92</v>
      </c>
      <c r="M241" s="546">
        <v>35390</v>
      </c>
      <c r="N241" s="547">
        <f>ROUND(+L241*M241,0)</f>
        <v>2474469</v>
      </c>
      <c r="O241" s="559" t="s">
        <v>877</v>
      </c>
      <c r="P241" s="567">
        <f>69.92-68</f>
        <v>1.9200000000000017</v>
      </c>
      <c r="Q241" s="549"/>
      <c r="S241" s="551"/>
      <c r="T241" s="549"/>
    </row>
    <row r="242" spans="1:20" s="550" customFormat="1" ht="25.5" customHeight="1">
      <c r="A242" s="552" t="s">
        <v>878</v>
      </c>
      <c r="B242" s="1350" t="s">
        <v>694</v>
      </c>
      <c r="C242" s="1351"/>
      <c r="D242" s="1352"/>
      <c r="E242" s="553" t="s">
        <v>162</v>
      </c>
      <c r="F242" s="554">
        <v>15</v>
      </c>
      <c r="G242" s="555">
        <v>6540</v>
      </c>
      <c r="H242" s="556">
        <f>+ROUND(F242*G242,0)</f>
        <v>98100</v>
      </c>
      <c r="I242" s="557">
        <v>15</v>
      </c>
      <c r="J242" s="555">
        <v>6540</v>
      </c>
      <c r="K242" s="558">
        <f>+ROUND(I242*J242,0)</f>
        <v>98100</v>
      </c>
      <c r="L242" s="545">
        <f>'[3]ACTA MOD. reformulacion'!K233</f>
        <v>61</v>
      </c>
      <c r="M242" s="546">
        <v>6540</v>
      </c>
      <c r="N242" s="547">
        <f>ROUND(+L242*M242,0)</f>
        <v>398940</v>
      </c>
      <c r="O242" s="559" t="s">
        <v>879</v>
      </c>
      <c r="P242" s="567">
        <f>61-15</f>
        <v>46</v>
      </c>
      <c r="Q242" s="549"/>
      <c r="S242" s="551"/>
      <c r="T242" s="549"/>
    </row>
    <row r="243" spans="1:20" s="550" customFormat="1" ht="17.25" customHeight="1">
      <c r="A243" s="1418"/>
      <c r="B243" s="1402"/>
      <c r="C243" s="1402"/>
      <c r="D243" s="1403"/>
      <c r="E243" s="636"/>
      <c r="F243" s="1419" t="s">
        <v>880</v>
      </c>
      <c r="G243" s="1415"/>
      <c r="H243" s="594">
        <f>+H240+H241+H242</f>
        <v>4084424</v>
      </c>
      <c r="I243" s="1414" t="s">
        <v>880</v>
      </c>
      <c r="J243" s="1415"/>
      <c r="K243" s="594">
        <f>+K240+K241+K242</f>
        <v>4084237</v>
      </c>
      <c r="L243" s="545">
        <f>'[3]ACTA MOD. reformulacion'!K234</f>
        <v>0</v>
      </c>
      <c r="M243" s="546">
        <v>0</v>
      </c>
      <c r="N243" s="594">
        <f>SUM(N240:N242)</f>
        <v>5434670</v>
      </c>
      <c r="O243" s="559"/>
      <c r="P243" s="549"/>
      <c r="Q243" s="549"/>
      <c r="S243" s="551"/>
      <c r="T243" s="549"/>
    </row>
    <row r="244" spans="1:20" s="550" customFormat="1" ht="17.25" customHeight="1">
      <c r="A244" s="595">
        <v>6.6</v>
      </c>
      <c r="B244" s="1423" t="s">
        <v>881</v>
      </c>
      <c r="C244" s="1424"/>
      <c r="D244" s="1425"/>
      <c r="E244" s="593"/>
      <c r="F244" s="596"/>
      <c r="G244" s="597"/>
      <c r="H244" s="594"/>
      <c r="I244" s="598"/>
      <c r="J244" s="597"/>
      <c r="K244" s="594"/>
      <c r="L244" s="545">
        <f>'[3]ACTA MOD. reformulacion'!K235</f>
        <v>0</v>
      </c>
      <c r="M244" s="546">
        <v>0</v>
      </c>
      <c r="N244" s="547"/>
      <c r="O244" s="559"/>
      <c r="P244" s="549"/>
      <c r="Q244" s="549"/>
      <c r="S244" s="551"/>
      <c r="T244" s="549"/>
    </row>
    <row r="245" spans="1:20" s="550" customFormat="1" ht="24.75" customHeight="1">
      <c r="A245" s="552" t="s">
        <v>882</v>
      </c>
      <c r="B245" s="1350" t="s">
        <v>883</v>
      </c>
      <c r="C245" s="1351"/>
      <c r="D245" s="1352"/>
      <c r="E245" s="553" t="s">
        <v>571</v>
      </c>
      <c r="F245" s="554">
        <v>1</v>
      </c>
      <c r="G245" s="555">
        <v>10401588</v>
      </c>
      <c r="H245" s="556">
        <f>+ROUND(F245*G245,0)</f>
        <v>10401588</v>
      </c>
      <c r="I245" s="557">
        <v>1</v>
      </c>
      <c r="J245" s="555">
        <v>10401585</v>
      </c>
      <c r="K245" s="558">
        <f>+ROUND(I245*J245,0)</f>
        <v>10401585</v>
      </c>
      <c r="L245" s="545">
        <f>'[3]ACTA MOD. reformulacion'!K236</f>
        <v>1</v>
      </c>
      <c r="M245" s="546">
        <v>10401585</v>
      </c>
      <c r="N245" s="547">
        <f>ROUND(+L245*M245,0)</f>
        <v>10401585</v>
      </c>
      <c r="O245" s="559" t="s">
        <v>884</v>
      </c>
      <c r="P245" s="549"/>
      <c r="Q245" s="549"/>
      <c r="S245" s="551"/>
      <c r="T245" s="549"/>
    </row>
    <row r="246" spans="1:20" s="550" customFormat="1" ht="26.25" customHeight="1">
      <c r="A246" s="552" t="s">
        <v>885</v>
      </c>
      <c r="B246" s="1350" t="s">
        <v>886</v>
      </c>
      <c r="C246" s="1351"/>
      <c r="D246" s="1352"/>
      <c r="E246" s="553" t="s">
        <v>571</v>
      </c>
      <c r="F246" s="554">
        <v>1</v>
      </c>
      <c r="G246" s="555">
        <v>10206162</v>
      </c>
      <c r="H246" s="556">
        <f>+ROUND(F246*G246,0)</f>
        <v>10206162</v>
      </c>
      <c r="I246" s="557">
        <v>1</v>
      </c>
      <c r="J246" s="555">
        <v>10206160</v>
      </c>
      <c r="K246" s="558">
        <f>+ROUND(I246*J246,0)</f>
        <v>10206160</v>
      </c>
      <c r="L246" s="545">
        <f>'[3]ACTA MOD. reformulacion'!K237</f>
        <v>1</v>
      </c>
      <c r="M246" s="546">
        <v>10206160</v>
      </c>
      <c r="N246" s="547">
        <f>ROUND(+L246*M246,0)</f>
        <v>10206160</v>
      </c>
      <c r="O246" s="559" t="s">
        <v>884</v>
      </c>
      <c r="P246" s="549"/>
      <c r="Q246" s="549"/>
      <c r="S246" s="551"/>
      <c r="T246" s="549"/>
    </row>
    <row r="247" spans="1:20" s="550" customFormat="1" ht="17.25" customHeight="1">
      <c r="A247" s="1418"/>
      <c r="B247" s="1402"/>
      <c r="C247" s="1402"/>
      <c r="D247" s="1426"/>
      <c r="E247" s="615"/>
      <c r="F247" s="1419" t="s">
        <v>887</v>
      </c>
      <c r="G247" s="1415"/>
      <c r="H247" s="594">
        <f>+H245+H246</f>
        <v>20607750</v>
      </c>
      <c r="I247" s="1414" t="s">
        <v>887</v>
      </c>
      <c r="J247" s="1415"/>
      <c r="K247" s="594">
        <f>+K245+K246</f>
        <v>20607745</v>
      </c>
      <c r="L247" s="545">
        <f>'[3]ACTA MOD. reformulacion'!K238</f>
        <v>0</v>
      </c>
      <c r="M247" s="546">
        <v>0</v>
      </c>
      <c r="N247" s="594">
        <f>SUM(N245:N246)</f>
        <v>20607745</v>
      </c>
      <c r="O247" s="559"/>
      <c r="P247" s="549"/>
      <c r="Q247" s="549"/>
      <c r="S247" s="551"/>
      <c r="T247" s="549"/>
    </row>
    <row r="248" spans="1:20" s="550" customFormat="1" ht="15.75" customHeight="1">
      <c r="A248" s="637"/>
      <c r="B248" s="1347" t="s">
        <v>888</v>
      </c>
      <c r="C248" s="1348"/>
      <c r="D248" s="1349"/>
      <c r="E248" s="638"/>
      <c r="F248" s="639"/>
      <c r="G248" s="640"/>
      <c r="H248" s="611">
        <f>+SUM(H176+H180+H185+H238+H243+H247)</f>
        <v>76770288</v>
      </c>
      <c r="I248" s="641"/>
      <c r="J248" s="640"/>
      <c r="K248" s="611">
        <f>+K176+K180+K185+K238+K243+K247</f>
        <v>76764587</v>
      </c>
      <c r="L248" s="545">
        <f>'[3]ACTA MOD. reformulacion'!K239</f>
        <v>0</v>
      </c>
      <c r="M248" s="546">
        <v>0</v>
      </c>
      <c r="N248" s="611">
        <f>SUM(N247,N243,N238,N185,N180,N176)</f>
        <v>81828308</v>
      </c>
      <c r="O248" s="559"/>
      <c r="P248" s="549"/>
      <c r="Q248" s="549"/>
      <c r="S248" s="551"/>
      <c r="T248" s="549"/>
    </row>
    <row r="249" spans="1:20" s="550" customFormat="1" ht="20.25" customHeight="1">
      <c r="A249" s="577">
        <v>7</v>
      </c>
      <c r="B249" s="1347" t="s">
        <v>889</v>
      </c>
      <c r="C249" s="1348"/>
      <c r="D249" s="1349"/>
      <c r="E249" s="578"/>
      <c r="F249" s="579"/>
      <c r="G249" s="580"/>
      <c r="H249" s="581"/>
      <c r="I249" s="582"/>
      <c r="J249" s="580"/>
      <c r="K249" s="544"/>
      <c r="L249" s="545">
        <f>'[3]ACTA MOD. reformulacion'!K240</f>
        <v>0</v>
      </c>
      <c r="M249" s="546">
        <v>0</v>
      </c>
      <c r="N249" s="547"/>
      <c r="O249" s="559"/>
      <c r="P249" s="549"/>
      <c r="Q249" s="549"/>
      <c r="S249" s="551"/>
      <c r="T249" s="549"/>
    </row>
    <row r="250" spans="1:20" s="550" customFormat="1" ht="17.25" customHeight="1">
      <c r="A250" s="595">
        <v>7.1</v>
      </c>
      <c r="B250" s="1423" t="s">
        <v>666</v>
      </c>
      <c r="C250" s="1424"/>
      <c r="D250" s="1425"/>
      <c r="E250" s="593"/>
      <c r="F250" s="596"/>
      <c r="G250" s="597"/>
      <c r="H250" s="594"/>
      <c r="I250" s="598"/>
      <c r="J250" s="597"/>
      <c r="K250" s="594"/>
      <c r="L250" s="545">
        <f>'[3]ACTA MOD. reformulacion'!K241</f>
        <v>0</v>
      </c>
      <c r="M250" s="546">
        <v>0</v>
      </c>
      <c r="N250" s="547"/>
      <c r="O250" s="559"/>
      <c r="P250" s="549"/>
      <c r="Q250" s="549"/>
      <c r="S250" s="551"/>
      <c r="T250" s="549"/>
    </row>
    <row r="251" spans="1:20" s="550" customFormat="1" ht="57" customHeight="1">
      <c r="A251" s="552" t="s">
        <v>890</v>
      </c>
      <c r="B251" s="1350" t="s">
        <v>668</v>
      </c>
      <c r="C251" s="1351"/>
      <c r="D251" s="1352"/>
      <c r="E251" s="553" t="s">
        <v>163</v>
      </c>
      <c r="F251" s="554">
        <v>138</v>
      </c>
      <c r="G251" s="555">
        <v>35354</v>
      </c>
      <c r="H251" s="556">
        <f>+ROUND(F251*G251,0)</f>
        <v>4878852</v>
      </c>
      <c r="I251" s="557">
        <v>138</v>
      </c>
      <c r="J251" s="555">
        <v>35350</v>
      </c>
      <c r="K251" s="558">
        <f>+ROUND(I251*J251,0)</f>
        <v>4878300</v>
      </c>
      <c r="L251" s="545">
        <f>'[3]ACTA MOD. reformulacion'!K242</f>
        <v>276</v>
      </c>
      <c r="M251" s="546">
        <v>35350</v>
      </c>
      <c r="N251" s="547">
        <f>ROUND(+L251*M251,0)</f>
        <v>9756600</v>
      </c>
      <c r="O251" s="559" t="s">
        <v>891</v>
      </c>
      <c r="P251" s="567">
        <f>276-138</f>
        <v>138</v>
      </c>
      <c r="Q251" s="549"/>
      <c r="S251" s="551"/>
      <c r="T251" s="549"/>
    </row>
    <row r="252" spans="1:20" s="550" customFormat="1" ht="48" customHeight="1">
      <c r="A252" s="552" t="s">
        <v>892</v>
      </c>
      <c r="B252" s="1350" t="s">
        <v>671</v>
      </c>
      <c r="C252" s="1351"/>
      <c r="D252" s="1352"/>
      <c r="E252" s="553" t="s">
        <v>163</v>
      </c>
      <c r="F252" s="554">
        <v>138</v>
      </c>
      <c r="G252" s="555">
        <v>11019</v>
      </c>
      <c r="H252" s="556">
        <f>+ROUND(F252*G252,0)</f>
        <v>1520622</v>
      </c>
      <c r="I252" s="557">
        <v>138</v>
      </c>
      <c r="J252" s="555">
        <v>11015</v>
      </c>
      <c r="K252" s="558">
        <f>+ROUND(I252*J252,0)</f>
        <v>1520070</v>
      </c>
      <c r="L252" s="545">
        <f>'[3]ACTA MOD. reformulacion'!K243</f>
        <v>276</v>
      </c>
      <c r="M252" s="546">
        <v>11015</v>
      </c>
      <c r="N252" s="547">
        <f>ROUND(+L252*M252,0)</f>
        <v>3040140</v>
      </c>
      <c r="O252" s="559" t="s">
        <v>893</v>
      </c>
      <c r="P252" s="549"/>
      <c r="Q252" s="549"/>
      <c r="S252" s="551"/>
      <c r="T252" s="549"/>
    </row>
    <row r="253" spans="1:20" s="550" customFormat="1" ht="16.5" customHeight="1">
      <c r="A253" s="552" t="s">
        <v>894</v>
      </c>
      <c r="B253" s="1350" t="s">
        <v>895</v>
      </c>
      <c r="C253" s="1351"/>
      <c r="D253" s="1352"/>
      <c r="E253" s="553" t="s">
        <v>571</v>
      </c>
      <c r="F253" s="554">
        <v>5</v>
      </c>
      <c r="G253" s="555">
        <v>227563</v>
      </c>
      <c r="H253" s="556">
        <f>+ROUND(F253*G253,0)</f>
        <v>1137815</v>
      </c>
      <c r="I253" s="557">
        <v>5</v>
      </c>
      <c r="J253" s="555">
        <v>227560</v>
      </c>
      <c r="K253" s="558">
        <f>+ROUND(I253*J253,0)</f>
        <v>1137800</v>
      </c>
      <c r="L253" s="545">
        <f>'[3]ACTA MOD. reformulacion'!K244</f>
        <v>0</v>
      </c>
      <c r="M253" s="546">
        <v>227560</v>
      </c>
      <c r="N253" s="547">
        <f>ROUND(+L253*M253,0)</f>
        <v>0</v>
      </c>
      <c r="O253" s="559" t="s">
        <v>896</v>
      </c>
      <c r="P253" s="549"/>
      <c r="Q253" s="549"/>
      <c r="S253" s="551"/>
      <c r="T253" s="549"/>
    </row>
    <row r="254" spans="1:20" s="571" customFormat="1" ht="15.75" customHeight="1">
      <c r="A254" s="1418"/>
      <c r="B254" s="1402"/>
      <c r="C254" s="1402"/>
      <c r="D254" s="1403"/>
      <c r="E254" s="593"/>
      <c r="F254" s="1419" t="s">
        <v>673</v>
      </c>
      <c r="G254" s="1415"/>
      <c r="H254" s="594">
        <f>+H251+H252+H253</f>
        <v>7537289</v>
      </c>
      <c r="I254" s="1414" t="s">
        <v>673</v>
      </c>
      <c r="J254" s="1415"/>
      <c r="K254" s="594">
        <f>+K251+K252+K253</f>
        <v>7536170</v>
      </c>
      <c r="L254" s="545">
        <f>'[3]ACTA MOD. reformulacion'!K245</f>
        <v>0</v>
      </c>
      <c r="M254" s="546">
        <v>0</v>
      </c>
      <c r="N254" s="594">
        <f>SUM(N251:N253)</f>
        <v>12796740</v>
      </c>
      <c r="O254" s="559"/>
      <c r="P254" s="549"/>
      <c r="Q254" s="549"/>
      <c r="S254" s="551"/>
      <c r="T254" s="549"/>
    </row>
    <row r="255" spans="1:20" s="550" customFormat="1" ht="17.25" customHeight="1">
      <c r="A255" s="595">
        <v>7.2</v>
      </c>
      <c r="B255" s="1423" t="s">
        <v>507</v>
      </c>
      <c r="C255" s="1424"/>
      <c r="D255" s="1425"/>
      <c r="E255" s="593"/>
      <c r="F255" s="596"/>
      <c r="G255" s="597"/>
      <c r="H255" s="594"/>
      <c r="I255" s="598"/>
      <c r="J255" s="597"/>
      <c r="K255" s="594"/>
      <c r="L255" s="545">
        <f>'[3]ACTA MOD. reformulacion'!K246</f>
        <v>0</v>
      </c>
      <c r="M255" s="546">
        <v>0</v>
      </c>
      <c r="N255" s="547"/>
      <c r="O255" s="559"/>
      <c r="P255" s="549"/>
      <c r="Q255" s="549"/>
      <c r="S255" s="551"/>
      <c r="T255" s="549"/>
    </row>
    <row r="256" spans="1:20" s="550" customFormat="1" ht="66" customHeight="1">
      <c r="A256" s="552" t="s">
        <v>897</v>
      </c>
      <c r="B256" s="1350" t="s">
        <v>662</v>
      </c>
      <c r="C256" s="1351"/>
      <c r="D256" s="1352"/>
      <c r="E256" s="553" t="s">
        <v>162</v>
      </c>
      <c r="F256" s="554">
        <v>276</v>
      </c>
      <c r="G256" s="555">
        <v>58840</v>
      </c>
      <c r="H256" s="556">
        <f>+ROUND(F256*G256,0)</f>
        <v>16239840</v>
      </c>
      <c r="I256" s="557">
        <v>276</v>
      </c>
      <c r="J256" s="555">
        <v>58840</v>
      </c>
      <c r="K256" s="558">
        <f>+ROUND(I256*J256,0)</f>
        <v>16239840</v>
      </c>
      <c r="L256" s="545">
        <f>'[3]ACTA MOD. reformulacion'!K247</f>
        <v>276</v>
      </c>
      <c r="M256" s="546">
        <v>58840</v>
      </c>
      <c r="N256" s="547">
        <f>ROUND(+L256*M256,0)</f>
        <v>16239840</v>
      </c>
      <c r="O256" s="559" t="s">
        <v>898</v>
      </c>
      <c r="P256" s="549"/>
      <c r="Q256" s="549"/>
      <c r="S256" s="551"/>
      <c r="T256" s="549"/>
    </row>
    <row r="257" spans="1:20" s="550" customFormat="1" ht="54.75" customHeight="1">
      <c r="A257" s="552" t="s">
        <v>899</v>
      </c>
      <c r="B257" s="1350" t="s">
        <v>900</v>
      </c>
      <c r="C257" s="1351"/>
      <c r="D257" s="1352"/>
      <c r="E257" s="553" t="s">
        <v>165</v>
      </c>
      <c r="F257" s="554">
        <v>24.84</v>
      </c>
      <c r="G257" s="555">
        <v>417889</v>
      </c>
      <c r="H257" s="556">
        <f>+ROUND(F257*G257,0)</f>
        <v>10380363</v>
      </c>
      <c r="I257" s="557">
        <v>24.84</v>
      </c>
      <c r="J257" s="555">
        <v>417885</v>
      </c>
      <c r="K257" s="558">
        <f>+ROUND(I257*J257,0)</f>
        <v>10380263</v>
      </c>
      <c r="L257" s="545">
        <f>'[3]ACTA MOD. reformulacion'!K248</f>
        <v>44.16</v>
      </c>
      <c r="M257" s="546">
        <v>417885</v>
      </c>
      <c r="N257" s="547">
        <f>ROUND(+L257*M257,0)</f>
        <v>18453802</v>
      </c>
      <c r="O257" s="559" t="s">
        <v>901</v>
      </c>
      <c r="P257" s="567">
        <f>0.4*0.4*276</f>
        <v>44.160000000000011</v>
      </c>
      <c r="Q257" s="567">
        <f>P257-24.84</f>
        <v>19.320000000000011</v>
      </c>
      <c r="S257" s="551"/>
      <c r="T257" s="549"/>
    </row>
    <row r="258" spans="1:20" s="550" customFormat="1" ht="54.75" customHeight="1">
      <c r="A258" s="552" t="s">
        <v>902</v>
      </c>
      <c r="B258" s="1350" t="s">
        <v>521</v>
      </c>
      <c r="C258" s="1351"/>
      <c r="D258" s="1352"/>
      <c r="E258" s="553" t="s">
        <v>637</v>
      </c>
      <c r="F258" s="554">
        <v>1552.5</v>
      </c>
      <c r="G258" s="555">
        <v>4040</v>
      </c>
      <c r="H258" s="556">
        <f>+ROUND(F258*G258,0)</f>
        <v>6272100</v>
      </c>
      <c r="I258" s="557">
        <v>1552.5</v>
      </c>
      <c r="J258" s="555">
        <v>4040</v>
      </c>
      <c r="K258" s="558">
        <f>+ROUND(I258*J258,0)</f>
        <v>6272100</v>
      </c>
      <c r="L258" s="545">
        <f>'[3]ACTA MOD. reformulacion'!K249</f>
        <v>1936.83</v>
      </c>
      <c r="M258" s="546">
        <v>4040</v>
      </c>
      <c r="N258" s="547">
        <f>ROUND(+L258*M258,0)</f>
        <v>7824793</v>
      </c>
      <c r="O258" s="559" t="s">
        <v>903</v>
      </c>
      <c r="P258" s="567">
        <f>1936.83-1552.5</f>
        <v>384.32999999999993</v>
      </c>
      <c r="Q258" s="549"/>
      <c r="S258" s="551"/>
      <c r="T258" s="549"/>
    </row>
    <row r="259" spans="1:20" s="550" customFormat="1" ht="18" customHeight="1">
      <c r="A259" s="1418"/>
      <c r="B259" s="1402"/>
      <c r="C259" s="1402"/>
      <c r="D259" s="1403"/>
      <c r="E259" s="593"/>
      <c r="F259" s="1419" t="s">
        <v>644</v>
      </c>
      <c r="G259" s="1415"/>
      <c r="H259" s="594">
        <f>+H256+H257+H258</f>
        <v>32892303</v>
      </c>
      <c r="I259" s="1414" t="s">
        <v>644</v>
      </c>
      <c r="J259" s="1415"/>
      <c r="K259" s="594">
        <f>+K256+K257+K258</f>
        <v>32892203</v>
      </c>
      <c r="L259" s="545">
        <f>'[3]ACTA MOD. reformulacion'!K250</f>
        <v>0</v>
      </c>
      <c r="M259" s="546">
        <v>0</v>
      </c>
      <c r="N259" s="594">
        <f>SUM(N256:N258)</f>
        <v>42518435</v>
      </c>
      <c r="O259" s="559"/>
      <c r="P259" s="549"/>
      <c r="Q259" s="549"/>
      <c r="S259" s="551"/>
      <c r="T259" s="549"/>
    </row>
    <row r="260" spans="1:20" s="550" customFormat="1" ht="17.25" customHeight="1">
      <c r="A260" s="595">
        <v>7.3</v>
      </c>
      <c r="B260" s="1423" t="s">
        <v>904</v>
      </c>
      <c r="C260" s="1424"/>
      <c r="D260" s="1425"/>
      <c r="E260" s="593"/>
      <c r="F260" s="596"/>
      <c r="G260" s="597"/>
      <c r="H260" s="594"/>
      <c r="I260" s="598"/>
      <c r="J260" s="597"/>
      <c r="K260" s="594"/>
      <c r="L260" s="545">
        <f>'[3]ACTA MOD. reformulacion'!K251</f>
        <v>0</v>
      </c>
      <c r="M260" s="546">
        <v>0</v>
      </c>
      <c r="N260" s="547"/>
      <c r="O260" s="559"/>
      <c r="P260" s="549"/>
      <c r="Q260" s="549"/>
      <c r="S260" s="551"/>
      <c r="T260" s="549"/>
    </row>
    <row r="261" spans="1:20" s="550" customFormat="1" ht="59.25" customHeight="1">
      <c r="A261" s="552" t="s">
        <v>905</v>
      </c>
      <c r="B261" s="1350" t="s">
        <v>906</v>
      </c>
      <c r="C261" s="1351"/>
      <c r="D261" s="1352"/>
      <c r="E261" s="553" t="s">
        <v>163</v>
      </c>
      <c r="F261" s="554">
        <v>552</v>
      </c>
      <c r="G261" s="555">
        <v>63781</v>
      </c>
      <c r="H261" s="556">
        <f>+ROUND(F261*G261,0)</f>
        <v>35207112</v>
      </c>
      <c r="I261" s="557">
        <v>552</v>
      </c>
      <c r="J261" s="555">
        <v>63780</v>
      </c>
      <c r="K261" s="558">
        <f>+ROUND(I261*J261,0)</f>
        <v>35206560</v>
      </c>
      <c r="L261" s="545">
        <f>'[3]ACTA MOD. reformulacion'!K252</f>
        <v>690</v>
      </c>
      <c r="M261" s="546">
        <v>63780</v>
      </c>
      <c r="N261" s="547">
        <f>ROUND(+L261*M261,0)</f>
        <v>44008200</v>
      </c>
      <c r="O261" s="559" t="s">
        <v>907</v>
      </c>
      <c r="P261" s="567">
        <f>690-552</f>
        <v>138</v>
      </c>
      <c r="Q261" s="549"/>
      <c r="S261" s="551"/>
      <c r="T261" s="549"/>
    </row>
    <row r="262" spans="1:20" s="550" customFormat="1" ht="44.25" customHeight="1">
      <c r="A262" s="552" t="s">
        <v>908</v>
      </c>
      <c r="B262" s="1350" t="s">
        <v>909</v>
      </c>
      <c r="C262" s="1351"/>
      <c r="D262" s="1352"/>
      <c r="E262" s="553" t="s">
        <v>910</v>
      </c>
      <c r="F262" s="554">
        <v>276</v>
      </c>
      <c r="G262" s="555">
        <v>21949</v>
      </c>
      <c r="H262" s="556">
        <f>+ROUND(F262*G262,0)</f>
        <v>6057924</v>
      </c>
      <c r="I262" s="557">
        <v>276</v>
      </c>
      <c r="J262" s="555">
        <v>21945</v>
      </c>
      <c r="K262" s="558">
        <f>+ROUND(I262*J262,0)</f>
        <v>6056820</v>
      </c>
      <c r="L262" s="545">
        <f>'[3]ACTA MOD. reformulacion'!K253</f>
        <v>276</v>
      </c>
      <c r="M262" s="546">
        <v>21945</v>
      </c>
      <c r="N262" s="547">
        <f>ROUND(+L262*M262,0)</f>
        <v>6056820</v>
      </c>
      <c r="O262" s="559" t="s">
        <v>911</v>
      </c>
      <c r="P262" s="549"/>
      <c r="Q262" s="549"/>
      <c r="S262" s="551"/>
      <c r="T262" s="549"/>
    </row>
    <row r="263" spans="1:20" s="550" customFormat="1" ht="50.25" customHeight="1">
      <c r="A263" s="552" t="s">
        <v>912</v>
      </c>
      <c r="B263" s="1350" t="s">
        <v>913</v>
      </c>
      <c r="C263" s="1351"/>
      <c r="D263" s="1352"/>
      <c r="E263" s="553" t="s">
        <v>162</v>
      </c>
      <c r="F263" s="554">
        <v>264</v>
      </c>
      <c r="G263" s="555">
        <v>2133</v>
      </c>
      <c r="H263" s="556">
        <f>+ROUND(F263*G263,0)</f>
        <v>563112</v>
      </c>
      <c r="I263" s="557">
        <v>264</v>
      </c>
      <c r="J263" s="555">
        <v>2100</v>
      </c>
      <c r="K263" s="558">
        <f>+ROUND(I263*J263,0)</f>
        <v>554400</v>
      </c>
      <c r="L263" s="545">
        <f>'[3]ACTA MOD. reformulacion'!K254</f>
        <v>828</v>
      </c>
      <c r="M263" s="546">
        <v>2100</v>
      </c>
      <c r="N263" s="547">
        <f>ROUND(+L263*M263,0)</f>
        <v>1738800</v>
      </c>
      <c r="O263" s="559" t="s">
        <v>914</v>
      </c>
      <c r="P263" s="567">
        <f>828-264</f>
        <v>564</v>
      </c>
      <c r="Q263" s="567"/>
      <c r="S263" s="551"/>
      <c r="T263" s="549"/>
    </row>
    <row r="264" spans="1:20" s="550" customFormat="1" ht="54.75" customHeight="1">
      <c r="A264" s="552" t="s">
        <v>915</v>
      </c>
      <c r="B264" s="1350" t="s">
        <v>916</v>
      </c>
      <c r="C264" s="1351"/>
      <c r="D264" s="1352"/>
      <c r="E264" s="553" t="s">
        <v>910</v>
      </c>
      <c r="F264" s="554">
        <v>1</v>
      </c>
      <c r="G264" s="555">
        <v>445788</v>
      </c>
      <c r="H264" s="556">
        <f>+ROUND(F264*G264,0)</f>
        <v>445788</v>
      </c>
      <c r="I264" s="557">
        <v>1</v>
      </c>
      <c r="J264" s="555">
        <v>445785</v>
      </c>
      <c r="K264" s="558">
        <f>+ROUND(I264*J264,0)</f>
        <v>445785</v>
      </c>
      <c r="L264" s="545">
        <f>'[3]ACTA MOD. reformulacion'!K255</f>
        <v>2</v>
      </c>
      <c r="M264" s="546">
        <v>445785</v>
      </c>
      <c r="N264" s="547">
        <f>ROUND(+L264*M264,0)</f>
        <v>891570</v>
      </c>
      <c r="O264" s="559" t="s">
        <v>917</v>
      </c>
      <c r="P264" s="549"/>
      <c r="Q264" s="549"/>
      <c r="S264" s="551"/>
      <c r="T264" s="549"/>
    </row>
    <row r="265" spans="1:20" s="550" customFormat="1" ht="18" customHeight="1">
      <c r="A265" s="1418"/>
      <c r="B265" s="1402"/>
      <c r="C265" s="1402"/>
      <c r="D265" s="1403"/>
      <c r="E265" s="593"/>
      <c r="F265" s="1419" t="s">
        <v>918</v>
      </c>
      <c r="G265" s="1415"/>
      <c r="H265" s="594">
        <f>+SUM(H261:H264)</f>
        <v>42273936</v>
      </c>
      <c r="I265" s="1414" t="s">
        <v>918</v>
      </c>
      <c r="J265" s="1415"/>
      <c r="K265" s="594">
        <f>+SUM(K261:K264)</f>
        <v>42263565</v>
      </c>
      <c r="L265" s="545">
        <f>'[3]ACTA MOD. reformulacion'!K256</f>
        <v>0</v>
      </c>
      <c r="M265" s="546">
        <v>0</v>
      </c>
      <c r="N265" s="594">
        <f>SUM(N261:N264)</f>
        <v>52695390</v>
      </c>
      <c r="O265" s="559"/>
      <c r="P265" s="549"/>
      <c r="Q265" s="549"/>
      <c r="S265" s="551"/>
      <c r="T265" s="549"/>
    </row>
    <row r="266" spans="1:20" s="550" customFormat="1">
      <c r="A266" s="642"/>
      <c r="B266" s="1420" t="s">
        <v>919</v>
      </c>
      <c r="C266" s="1421"/>
      <c r="D266" s="1422"/>
      <c r="E266" s="643"/>
      <c r="F266" s="644"/>
      <c r="G266" s="643"/>
      <c r="H266" s="645">
        <f>+H254+H259+H265</f>
        <v>82703528</v>
      </c>
      <c r="I266" s="646"/>
      <c r="J266" s="643"/>
      <c r="K266" s="611">
        <f>+K254+K259+K265</f>
        <v>82691938</v>
      </c>
      <c r="L266" s="545">
        <f>'[3]ACTA MOD. reformulacion'!K257</f>
        <v>0</v>
      </c>
      <c r="M266" s="546">
        <v>0</v>
      </c>
      <c r="N266" s="611">
        <f>SUM(N265,N259,N254)</f>
        <v>108010565</v>
      </c>
      <c r="O266" s="559"/>
      <c r="P266" s="549"/>
      <c r="Q266" s="549"/>
      <c r="S266" s="551"/>
      <c r="T266" s="549"/>
    </row>
    <row r="267" spans="1:20" s="550" customFormat="1" ht="15" customHeight="1">
      <c r="A267" s="642"/>
      <c r="B267" s="607" t="s">
        <v>920</v>
      </c>
      <c r="C267" s="608"/>
      <c r="D267" s="608"/>
      <c r="E267" s="608"/>
      <c r="F267" s="609"/>
      <c r="G267" s="608"/>
      <c r="H267" s="647"/>
      <c r="I267" s="612"/>
      <c r="J267" s="608"/>
      <c r="K267" s="544"/>
      <c r="L267" s="545">
        <f>'[3]ACTA MOD. reformulacion'!K258</f>
        <v>0</v>
      </c>
      <c r="M267" s="546">
        <v>0</v>
      </c>
      <c r="N267" s="544"/>
      <c r="O267" s="559"/>
      <c r="P267" s="549"/>
      <c r="Q267" s="549"/>
      <c r="S267" s="551"/>
      <c r="T267" s="549"/>
    </row>
    <row r="268" spans="1:20" s="550" customFormat="1" ht="18" customHeight="1">
      <c r="A268" s="577" t="s">
        <v>181</v>
      </c>
      <c r="B268" s="1420" t="s">
        <v>921</v>
      </c>
      <c r="C268" s="1421"/>
      <c r="D268" s="1422"/>
      <c r="E268" s="648" t="s">
        <v>164</v>
      </c>
      <c r="F268" s="649" t="s">
        <v>317</v>
      </c>
      <c r="G268" s="650" t="s">
        <v>922</v>
      </c>
      <c r="H268" s="651" t="s">
        <v>923</v>
      </c>
      <c r="I268" s="652" t="s">
        <v>317</v>
      </c>
      <c r="J268" s="650" t="s">
        <v>922</v>
      </c>
      <c r="K268" s="544"/>
      <c r="L268" s="545">
        <f>'[3]ACTA MOD. reformulacion'!K259</f>
        <v>0</v>
      </c>
      <c r="M268" s="546"/>
      <c r="N268" s="544"/>
      <c r="O268" s="559"/>
      <c r="P268" s="549"/>
      <c r="Q268" s="549"/>
      <c r="S268" s="551"/>
      <c r="T268" s="549"/>
    </row>
    <row r="269" spans="1:20" s="550" customFormat="1" ht="32.25" customHeight="1">
      <c r="A269" s="552" t="s">
        <v>924</v>
      </c>
      <c r="B269" s="1350" t="s">
        <v>925</v>
      </c>
      <c r="C269" s="1351"/>
      <c r="D269" s="1352"/>
      <c r="E269" s="553" t="s">
        <v>491</v>
      </c>
      <c r="F269" s="554">
        <v>1</v>
      </c>
      <c r="G269" s="555">
        <v>545000</v>
      </c>
      <c r="H269" s="556">
        <f t="shared" ref="H269:H277" si="19">+F269*G269</f>
        <v>545000</v>
      </c>
      <c r="I269" s="557">
        <v>1</v>
      </c>
      <c r="J269" s="555">
        <v>540000</v>
      </c>
      <c r="K269" s="558">
        <f t="shared" ref="K269:K277" si="20">+I269*J269</f>
        <v>540000</v>
      </c>
      <c r="L269" s="545">
        <f>'[3]ACTA MOD. reformulacion'!K260</f>
        <v>0</v>
      </c>
      <c r="M269" s="546">
        <v>540000</v>
      </c>
      <c r="N269" s="547">
        <f t="shared" ref="N269:N277" si="21">ROUND(+L269*M269,0)</f>
        <v>0</v>
      </c>
      <c r="O269" s="601" t="s">
        <v>926</v>
      </c>
      <c r="P269" s="549"/>
      <c r="Q269" s="549"/>
      <c r="S269" s="551"/>
      <c r="T269" s="549"/>
    </row>
    <row r="270" spans="1:20" s="550" customFormat="1" ht="119.25" customHeight="1">
      <c r="A270" s="552" t="s">
        <v>927</v>
      </c>
      <c r="B270" s="1350" t="s">
        <v>928</v>
      </c>
      <c r="C270" s="1351"/>
      <c r="D270" s="1352"/>
      <c r="E270" s="553" t="s">
        <v>491</v>
      </c>
      <c r="F270" s="554">
        <v>1</v>
      </c>
      <c r="G270" s="555">
        <v>5748688</v>
      </c>
      <c r="H270" s="556">
        <f t="shared" si="19"/>
        <v>5748688</v>
      </c>
      <c r="I270" s="557">
        <v>1</v>
      </c>
      <c r="J270" s="555">
        <v>5700000</v>
      </c>
      <c r="K270" s="558">
        <f t="shared" si="20"/>
        <v>5700000</v>
      </c>
      <c r="L270" s="545">
        <f>'[3]ACTA MOD. reformulacion'!K261</f>
        <v>1</v>
      </c>
      <c r="M270" s="546">
        <v>5700000</v>
      </c>
      <c r="N270" s="547">
        <f t="shared" si="21"/>
        <v>5700000</v>
      </c>
      <c r="O270" s="559" t="s">
        <v>929</v>
      </c>
      <c r="P270" s="549"/>
      <c r="Q270" s="549"/>
      <c r="S270" s="551"/>
      <c r="T270" s="549"/>
    </row>
    <row r="271" spans="1:20" s="550" customFormat="1" ht="51.75" customHeight="1">
      <c r="A271" s="552" t="s">
        <v>930</v>
      </c>
      <c r="B271" s="1350" t="s">
        <v>931</v>
      </c>
      <c r="C271" s="1351"/>
      <c r="D271" s="1352"/>
      <c r="E271" s="553" t="s">
        <v>491</v>
      </c>
      <c r="F271" s="554">
        <v>1</v>
      </c>
      <c r="G271" s="555">
        <v>456786</v>
      </c>
      <c r="H271" s="556">
        <f t="shared" si="19"/>
        <v>456786</v>
      </c>
      <c r="I271" s="557">
        <v>1</v>
      </c>
      <c r="J271" s="555">
        <v>450000</v>
      </c>
      <c r="K271" s="558">
        <f t="shared" si="20"/>
        <v>450000</v>
      </c>
      <c r="L271" s="545">
        <f>'[3]ACTA MOD. reformulacion'!K262</f>
        <v>1</v>
      </c>
      <c r="M271" s="546">
        <v>450000</v>
      </c>
      <c r="N271" s="547">
        <f t="shared" si="21"/>
        <v>450000</v>
      </c>
      <c r="O271" s="559" t="s">
        <v>929</v>
      </c>
      <c r="P271" s="549"/>
      <c r="Q271" s="549"/>
      <c r="S271" s="551"/>
      <c r="T271" s="549"/>
    </row>
    <row r="272" spans="1:20" s="550" customFormat="1" ht="52.5" customHeight="1">
      <c r="A272" s="552" t="s">
        <v>932</v>
      </c>
      <c r="B272" s="1350" t="s">
        <v>933</v>
      </c>
      <c r="C272" s="1351"/>
      <c r="D272" s="1352"/>
      <c r="E272" s="553" t="s">
        <v>491</v>
      </c>
      <c r="F272" s="554">
        <v>1</v>
      </c>
      <c r="G272" s="555">
        <v>1768920</v>
      </c>
      <c r="H272" s="556">
        <f t="shared" si="19"/>
        <v>1768920</v>
      </c>
      <c r="I272" s="557">
        <v>1</v>
      </c>
      <c r="J272" s="555">
        <v>1700000</v>
      </c>
      <c r="K272" s="558">
        <f t="shared" si="20"/>
        <v>1700000</v>
      </c>
      <c r="L272" s="545">
        <f>'[3]ACTA MOD. reformulacion'!K263</f>
        <v>1</v>
      </c>
      <c r="M272" s="546">
        <v>1700000</v>
      </c>
      <c r="N272" s="547">
        <f t="shared" si="21"/>
        <v>1700000</v>
      </c>
      <c r="O272" s="559" t="s">
        <v>929</v>
      </c>
      <c r="P272" s="549"/>
      <c r="Q272" s="549"/>
      <c r="S272" s="551"/>
      <c r="T272" s="549"/>
    </row>
    <row r="273" spans="1:20" s="550" customFormat="1" ht="51" customHeight="1">
      <c r="A273" s="552" t="s">
        <v>934</v>
      </c>
      <c r="B273" s="1350" t="s">
        <v>935</v>
      </c>
      <c r="C273" s="1351"/>
      <c r="D273" s="1352"/>
      <c r="E273" s="553" t="s">
        <v>491</v>
      </c>
      <c r="F273" s="554">
        <v>1</v>
      </c>
      <c r="G273" s="555">
        <v>3330000</v>
      </c>
      <c r="H273" s="556">
        <f t="shared" si="19"/>
        <v>3330000</v>
      </c>
      <c r="I273" s="557">
        <v>1</v>
      </c>
      <c r="J273" s="555">
        <v>3300000</v>
      </c>
      <c r="K273" s="558">
        <f t="shared" si="20"/>
        <v>3300000</v>
      </c>
      <c r="L273" s="545">
        <f>'[3]ACTA MOD. reformulacion'!K264</f>
        <v>1</v>
      </c>
      <c r="M273" s="546">
        <v>3300000</v>
      </c>
      <c r="N273" s="547">
        <f t="shared" si="21"/>
        <v>3300000</v>
      </c>
      <c r="O273" s="559" t="s">
        <v>929</v>
      </c>
      <c r="P273" s="549"/>
      <c r="Q273" s="549"/>
      <c r="S273" s="551"/>
      <c r="T273" s="549"/>
    </row>
    <row r="274" spans="1:20" s="550" customFormat="1" ht="53.25" customHeight="1">
      <c r="A274" s="552">
        <v>6</v>
      </c>
      <c r="B274" s="1350" t="s">
        <v>936</v>
      </c>
      <c r="C274" s="1351"/>
      <c r="D274" s="1352"/>
      <c r="E274" s="553" t="s">
        <v>491</v>
      </c>
      <c r="F274" s="554">
        <v>1</v>
      </c>
      <c r="G274" s="555">
        <v>606000</v>
      </c>
      <c r="H274" s="556">
        <f t="shared" si="19"/>
        <v>606000</v>
      </c>
      <c r="I274" s="557">
        <v>1</v>
      </c>
      <c r="J274" s="555">
        <v>600000</v>
      </c>
      <c r="K274" s="558">
        <f t="shared" si="20"/>
        <v>600000</v>
      </c>
      <c r="L274" s="545">
        <f>'[3]ACTA MOD. reformulacion'!K265</f>
        <v>1</v>
      </c>
      <c r="M274" s="546">
        <v>600000</v>
      </c>
      <c r="N274" s="547">
        <f t="shared" si="21"/>
        <v>600000</v>
      </c>
      <c r="O274" s="559" t="s">
        <v>929</v>
      </c>
      <c r="P274" s="549"/>
      <c r="Q274" s="549"/>
      <c r="S274" s="551"/>
      <c r="T274" s="549"/>
    </row>
    <row r="275" spans="1:20" s="550" customFormat="1" ht="53.25" customHeight="1">
      <c r="A275" s="552">
        <v>7</v>
      </c>
      <c r="B275" s="1350" t="s">
        <v>937</v>
      </c>
      <c r="C275" s="1351"/>
      <c r="D275" s="1352"/>
      <c r="E275" s="553" t="s">
        <v>491</v>
      </c>
      <c r="F275" s="554">
        <v>1</v>
      </c>
      <c r="G275" s="555">
        <v>6340000</v>
      </c>
      <c r="H275" s="556">
        <f t="shared" si="19"/>
        <v>6340000</v>
      </c>
      <c r="I275" s="557">
        <v>1</v>
      </c>
      <c r="J275" s="555">
        <v>6300000</v>
      </c>
      <c r="K275" s="558">
        <f t="shared" si="20"/>
        <v>6300000</v>
      </c>
      <c r="L275" s="545">
        <f>'[3]ACTA MOD. reformulacion'!K266</f>
        <v>1</v>
      </c>
      <c r="M275" s="546">
        <v>6300000</v>
      </c>
      <c r="N275" s="547">
        <f t="shared" si="21"/>
        <v>6300000</v>
      </c>
      <c r="O275" s="559" t="s">
        <v>929</v>
      </c>
      <c r="P275" s="549"/>
      <c r="Q275" s="549"/>
      <c r="S275" s="551"/>
      <c r="T275" s="549"/>
    </row>
    <row r="276" spans="1:20" s="550" customFormat="1" ht="54" customHeight="1">
      <c r="A276" s="552" t="s">
        <v>938</v>
      </c>
      <c r="B276" s="1350" t="s">
        <v>939</v>
      </c>
      <c r="C276" s="1351"/>
      <c r="D276" s="1352"/>
      <c r="E276" s="553" t="s">
        <v>491</v>
      </c>
      <c r="F276" s="554">
        <v>1</v>
      </c>
      <c r="G276" s="555">
        <v>2404000</v>
      </c>
      <c r="H276" s="556">
        <f t="shared" si="19"/>
        <v>2404000</v>
      </c>
      <c r="I276" s="557">
        <v>1</v>
      </c>
      <c r="J276" s="555">
        <v>2400000</v>
      </c>
      <c r="K276" s="558">
        <f t="shared" si="20"/>
        <v>2400000</v>
      </c>
      <c r="L276" s="545">
        <f>'[3]ACTA MOD. reformulacion'!K267</f>
        <v>1</v>
      </c>
      <c r="M276" s="546">
        <v>2400000</v>
      </c>
      <c r="N276" s="547">
        <f t="shared" si="21"/>
        <v>2400000</v>
      </c>
      <c r="O276" s="559" t="s">
        <v>929</v>
      </c>
      <c r="P276" s="549"/>
      <c r="Q276" s="549"/>
      <c r="S276" s="551"/>
      <c r="T276" s="549"/>
    </row>
    <row r="277" spans="1:20" s="550" customFormat="1" ht="48" customHeight="1">
      <c r="A277" s="552">
        <v>9</v>
      </c>
      <c r="B277" s="1350" t="s">
        <v>940</v>
      </c>
      <c r="C277" s="1351"/>
      <c r="D277" s="1352"/>
      <c r="E277" s="553" t="s">
        <v>491</v>
      </c>
      <c r="F277" s="554">
        <v>1</v>
      </c>
      <c r="G277" s="555">
        <v>500000</v>
      </c>
      <c r="H277" s="556">
        <f t="shared" si="19"/>
        <v>500000</v>
      </c>
      <c r="I277" s="557">
        <v>1</v>
      </c>
      <c r="J277" s="555">
        <v>500000</v>
      </c>
      <c r="K277" s="558">
        <f t="shared" si="20"/>
        <v>500000</v>
      </c>
      <c r="L277" s="545">
        <f>'[3]ACTA MOD. reformulacion'!K268</f>
        <v>0</v>
      </c>
      <c r="M277" s="546">
        <v>500000</v>
      </c>
      <c r="N277" s="547">
        <f t="shared" si="21"/>
        <v>0</v>
      </c>
      <c r="O277" s="601" t="s">
        <v>926</v>
      </c>
      <c r="P277" s="549"/>
      <c r="Q277" s="549"/>
      <c r="S277" s="551"/>
      <c r="T277" s="549"/>
    </row>
    <row r="278" spans="1:20" s="550" customFormat="1" ht="32.25" customHeight="1">
      <c r="A278" s="653"/>
      <c r="B278" s="1413"/>
      <c r="C278" s="1414"/>
      <c r="D278" s="1415"/>
      <c r="E278" s="593"/>
      <c r="F278" s="1385" t="s">
        <v>941</v>
      </c>
      <c r="G278" s="1385"/>
      <c r="H278" s="654">
        <f>+SUM(H269:H277)</f>
        <v>21699394</v>
      </c>
      <c r="I278" s="655"/>
      <c r="J278" s="656"/>
      <c r="K278" s="611">
        <f>+SUM(K269:K277)</f>
        <v>21490000</v>
      </c>
      <c r="L278" s="545"/>
      <c r="M278" s="546"/>
      <c r="N278" s="611">
        <f>SUM(N269:N277)</f>
        <v>20450000</v>
      </c>
      <c r="O278" s="559"/>
      <c r="P278" s="549"/>
      <c r="Q278" s="549"/>
      <c r="S278" s="551"/>
      <c r="T278" s="549"/>
    </row>
    <row r="279" spans="1:20" s="550" customFormat="1" ht="16.5" customHeight="1">
      <c r="A279" s="657"/>
      <c r="B279" s="658"/>
      <c r="C279" s="659"/>
      <c r="D279" s="660"/>
      <c r="E279" s="597"/>
      <c r="F279" s="661"/>
      <c r="G279" s="662"/>
      <c r="H279" s="663"/>
      <c r="I279" s="664"/>
      <c r="J279" s="656"/>
      <c r="K279" s="544"/>
      <c r="L279" s="545"/>
      <c r="M279" s="546"/>
      <c r="N279" s="544"/>
      <c r="O279" s="559"/>
      <c r="P279" s="549"/>
      <c r="Q279" s="549"/>
      <c r="S279" s="551"/>
      <c r="T279" s="549"/>
    </row>
    <row r="280" spans="1:20" s="550" customFormat="1" ht="27.75" customHeight="1">
      <c r="A280" s="665"/>
      <c r="B280" s="1416" t="s">
        <v>942</v>
      </c>
      <c r="C280" s="1416"/>
      <c r="D280" s="1416"/>
      <c r="E280" s="1416"/>
      <c r="F280" s="666"/>
      <c r="G280" s="666"/>
      <c r="H280" s="667"/>
      <c r="I280" s="664"/>
      <c r="J280" s="668"/>
      <c r="K280" s="669"/>
      <c r="L280" s="545"/>
      <c r="M280" s="670"/>
      <c r="N280" s="671"/>
      <c r="O280" s="559"/>
      <c r="P280" s="549"/>
      <c r="Q280" s="549"/>
      <c r="S280" s="551"/>
      <c r="T280" s="549"/>
    </row>
    <row r="281" spans="1:20" s="550" customFormat="1" ht="17.25" customHeight="1">
      <c r="A281" s="672" t="s">
        <v>181</v>
      </c>
      <c r="B281" s="1417" t="s">
        <v>943</v>
      </c>
      <c r="C281" s="1417"/>
      <c r="D281" s="1417"/>
      <c r="E281" s="673" t="s">
        <v>342</v>
      </c>
      <c r="F281" s="674"/>
      <c r="G281" s="673" t="s">
        <v>944</v>
      </c>
      <c r="H281" s="675"/>
      <c r="I281" s="664"/>
      <c r="J281" s="656"/>
      <c r="K281" s="676"/>
      <c r="L281" s="545"/>
      <c r="M281" s="546"/>
      <c r="N281" s="544"/>
      <c r="O281" s="559"/>
      <c r="P281" s="549"/>
      <c r="Q281" s="549"/>
      <c r="S281" s="551"/>
      <c r="T281" s="549"/>
    </row>
    <row r="282" spans="1:20" s="550" customFormat="1" ht="16.5" customHeight="1">
      <c r="A282" s="677" t="s">
        <v>945</v>
      </c>
      <c r="B282" s="1410" t="s">
        <v>946</v>
      </c>
      <c r="C282" s="1411"/>
      <c r="D282" s="1412"/>
      <c r="E282" s="678" t="s">
        <v>491</v>
      </c>
      <c r="F282" s="679"/>
      <c r="G282" s="680"/>
      <c r="H282" s="681"/>
      <c r="I282" s="664"/>
      <c r="J282" s="682"/>
      <c r="K282" s="683"/>
      <c r="L282" s="545">
        <f>'[3]ACTA MOD. reformulacion'!K271</f>
        <v>16</v>
      </c>
      <c r="M282" s="684">
        <v>91910</v>
      </c>
      <c r="N282" s="685">
        <f>ROUND(+M282*L282,0)</f>
        <v>1470560</v>
      </c>
      <c r="O282" s="559" t="s">
        <v>947</v>
      </c>
      <c r="P282" s="549"/>
      <c r="Q282" s="549"/>
      <c r="S282" s="551"/>
      <c r="T282" s="549"/>
    </row>
    <row r="283" spans="1:20" s="550" customFormat="1" ht="24.75" customHeight="1">
      <c r="A283" s="677" t="s">
        <v>948</v>
      </c>
      <c r="B283" s="1350" t="s">
        <v>949</v>
      </c>
      <c r="C283" s="1351"/>
      <c r="D283" s="1352"/>
      <c r="E283" s="589" t="s">
        <v>491</v>
      </c>
      <c r="F283" s="557"/>
      <c r="G283" s="555"/>
      <c r="H283" s="556"/>
      <c r="I283" s="664"/>
      <c r="J283" s="656"/>
      <c r="K283" s="558"/>
      <c r="L283" s="565">
        <f>'[3]ACTA MOD. reformulacion'!K272</f>
        <v>21</v>
      </c>
      <c r="M283" s="546">
        <v>70751</v>
      </c>
      <c r="N283" s="685">
        <f t="shared" ref="N283:N311" si="22">ROUND(+M283*L283,0)</f>
        <v>1485771</v>
      </c>
      <c r="O283" s="559" t="s">
        <v>950</v>
      </c>
      <c r="P283" s="549"/>
      <c r="Q283" s="549">
        <f>21*70751</f>
        <v>1485771</v>
      </c>
      <c r="S283" s="551"/>
      <c r="T283" s="549"/>
    </row>
    <row r="284" spans="1:20" s="550" customFormat="1" ht="16.5" customHeight="1">
      <c r="A284" s="677" t="s">
        <v>951</v>
      </c>
      <c r="B284" s="1350" t="s">
        <v>952</v>
      </c>
      <c r="C284" s="1351"/>
      <c r="D284" s="1352"/>
      <c r="E284" s="589" t="s">
        <v>491</v>
      </c>
      <c r="F284" s="557"/>
      <c r="G284" s="555"/>
      <c r="H284" s="556"/>
      <c r="I284" s="664"/>
      <c r="J284" s="656"/>
      <c r="K284" s="558"/>
      <c r="L284" s="545">
        <f>'[3]ACTA MOD. reformulacion'!K273</f>
        <v>2</v>
      </c>
      <c r="M284" s="546">
        <v>85172</v>
      </c>
      <c r="N284" s="685">
        <f t="shared" si="22"/>
        <v>170344</v>
      </c>
      <c r="O284" s="559" t="s">
        <v>953</v>
      </c>
      <c r="P284" s="549"/>
      <c r="Q284" s="549"/>
      <c r="S284" s="551"/>
      <c r="T284" s="549"/>
    </row>
    <row r="285" spans="1:20" s="550" customFormat="1" ht="16.5" customHeight="1">
      <c r="A285" s="677" t="s">
        <v>954</v>
      </c>
      <c r="B285" s="1350" t="s">
        <v>955</v>
      </c>
      <c r="C285" s="1351"/>
      <c r="D285" s="1352"/>
      <c r="E285" s="589" t="s">
        <v>491</v>
      </c>
      <c r="F285" s="557"/>
      <c r="G285" s="555"/>
      <c r="H285" s="556"/>
      <c r="I285" s="664"/>
      <c r="J285" s="656"/>
      <c r="K285" s="558"/>
      <c r="L285" s="545">
        <f>'[3]ACTA MOD. reformulacion'!K274</f>
        <v>8</v>
      </c>
      <c r="M285" s="546">
        <v>259888</v>
      </c>
      <c r="N285" s="685">
        <f t="shared" si="22"/>
        <v>2079104</v>
      </c>
      <c r="O285" s="559" t="s">
        <v>956</v>
      </c>
      <c r="P285" s="549"/>
      <c r="Q285" s="549"/>
      <c r="S285" s="551"/>
      <c r="T285" s="549"/>
    </row>
    <row r="286" spans="1:20" s="550" customFormat="1" ht="31.5" customHeight="1">
      <c r="A286" s="677" t="s">
        <v>957</v>
      </c>
      <c r="B286" s="1350" t="s">
        <v>958</v>
      </c>
      <c r="C286" s="1351"/>
      <c r="D286" s="1352"/>
      <c r="E286" s="589" t="s">
        <v>491</v>
      </c>
      <c r="F286" s="557"/>
      <c r="G286" s="555"/>
      <c r="H286" s="556"/>
      <c r="I286" s="664"/>
      <c r="J286" s="656"/>
      <c r="K286" s="558"/>
      <c r="L286" s="545">
        <f>'[3]ACTA MOD. reformulacion'!K275</f>
        <v>2</v>
      </c>
      <c r="M286" s="546">
        <v>206350</v>
      </c>
      <c r="N286" s="685">
        <f t="shared" si="22"/>
        <v>412700</v>
      </c>
      <c r="O286" s="559" t="s">
        <v>959</v>
      </c>
      <c r="P286" s="549"/>
      <c r="Q286" s="549"/>
      <c r="S286" s="551"/>
      <c r="T286" s="549"/>
    </row>
    <row r="287" spans="1:20" s="550" customFormat="1" ht="25.5" customHeight="1">
      <c r="A287" s="677" t="s">
        <v>960</v>
      </c>
      <c r="B287" s="1350" t="s">
        <v>961</v>
      </c>
      <c r="C287" s="1351"/>
      <c r="D287" s="1352"/>
      <c r="E287" s="589" t="s">
        <v>962</v>
      </c>
      <c r="F287" s="557"/>
      <c r="G287" s="555"/>
      <c r="H287" s="556"/>
      <c r="I287" s="664"/>
      <c r="J287" s="656"/>
      <c r="K287" s="558"/>
      <c r="L287" s="545">
        <f>'[3]ACTA MOD. reformulacion'!K276</f>
        <v>2</v>
      </c>
      <c r="M287" s="546">
        <v>103751</v>
      </c>
      <c r="N287" s="685">
        <f t="shared" si="22"/>
        <v>207502</v>
      </c>
      <c r="O287" s="559" t="s">
        <v>963</v>
      </c>
      <c r="P287" s="549"/>
      <c r="Q287" s="549"/>
      <c r="S287" s="551"/>
      <c r="T287" s="549"/>
    </row>
    <row r="288" spans="1:20" s="550" customFormat="1" ht="24.75" customHeight="1">
      <c r="A288" s="677" t="s">
        <v>964</v>
      </c>
      <c r="B288" s="1350" t="s">
        <v>965</v>
      </c>
      <c r="C288" s="1351"/>
      <c r="D288" s="1352"/>
      <c r="E288" s="589" t="s">
        <v>962</v>
      </c>
      <c r="F288" s="557"/>
      <c r="G288" s="555"/>
      <c r="H288" s="556"/>
      <c r="I288" s="664"/>
      <c r="J288" s="656"/>
      <c r="K288" s="558"/>
      <c r="L288" s="545">
        <f>'[3]ACTA MOD. reformulacion'!K277</f>
        <v>2</v>
      </c>
      <c r="M288" s="546">
        <v>73751</v>
      </c>
      <c r="N288" s="685">
        <f t="shared" si="22"/>
        <v>147502</v>
      </c>
      <c r="O288" s="559" t="s">
        <v>966</v>
      </c>
      <c r="P288" s="549"/>
      <c r="Q288" s="549"/>
      <c r="S288" s="551"/>
      <c r="T288" s="549"/>
    </row>
    <row r="289" spans="1:20" s="550" customFormat="1" ht="16.5" customHeight="1">
      <c r="A289" s="677" t="s">
        <v>967</v>
      </c>
      <c r="B289" s="1350" t="s">
        <v>968</v>
      </c>
      <c r="C289" s="1351"/>
      <c r="D289" s="1352"/>
      <c r="E289" s="589" t="s">
        <v>962</v>
      </c>
      <c r="F289" s="557"/>
      <c r="G289" s="555"/>
      <c r="H289" s="556"/>
      <c r="I289" s="664"/>
      <c r="J289" s="656"/>
      <c r="K289" s="558"/>
      <c r="L289" s="545">
        <f>'[3]ACTA MOD. reformulacion'!K278</f>
        <v>12</v>
      </c>
      <c r="M289" s="546">
        <v>95000</v>
      </c>
      <c r="N289" s="685">
        <f t="shared" si="22"/>
        <v>1140000</v>
      </c>
      <c r="O289" s="559" t="s">
        <v>969</v>
      </c>
      <c r="P289" s="549"/>
      <c r="Q289" s="549"/>
      <c r="S289" s="551"/>
      <c r="T289" s="549"/>
    </row>
    <row r="290" spans="1:20" s="550" customFormat="1" ht="16.5" customHeight="1">
      <c r="A290" s="677" t="s">
        <v>970</v>
      </c>
      <c r="B290" s="1350" t="s">
        <v>971</v>
      </c>
      <c r="C290" s="1351"/>
      <c r="D290" s="1352"/>
      <c r="E290" s="589" t="s">
        <v>972</v>
      </c>
      <c r="F290" s="557"/>
      <c r="G290" s="555"/>
      <c r="H290" s="556"/>
      <c r="I290" s="664"/>
      <c r="J290" s="656"/>
      <c r="K290" s="558"/>
      <c r="L290" s="545">
        <f>'[3]ACTA MOD. reformulacion'!K279</f>
        <v>3</v>
      </c>
      <c r="M290" s="546">
        <v>120000</v>
      </c>
      <c r="N290" s="685">
        <f t="shared" si="22"/>
        <v>360000</v>
      </c>
      <c r="O290" s="559" t="s">
        <v>973</v>
      </c>
      <c r="P290" s="549"/>
      <c r="Q290" s="549"/>
      <c r="S290" s="551"/>
      <c r="T290" s="549"/>
    </row>
    <row r="291" spans="1:20" s="550" customFormat="1" ht="27.75" customHeight="1">
      <c r="A291" s="677" t="s">
        <v>974</v>
      </c>
      <c r="B291" s="1401" t="s">
        <v>975</v>
      </c>
      <c r="C291" s="1402"/>
      <c r="D291" s="1403"/>
      <c r="E291" s="686" t="s">
        <v>475</v>
      </c>
      <c r="F291" s="557"/>
      <c r="G291" s="555"/>
      <c r="H291" s="556"/>
      <c r="I291" s="664"/>
      <c r="J291" s="656"/>
      <c r="K291" s="558">
        <f t="shared" ref="K291:K301" si="23">+ROUND(I291*G291,0)</f>
        <v>0</v>
      </c>
      <c r="L291" s="545">
        <f>'[3]ACTA MOD. reformulacion'!K280</f>
        <v>4.84</v>
      </c>
      <c r="M291" s="546">
        <v>218500</v>
      </c>
      <c r="N291" s="685">
        <f t="shared" si="22"/>
        <v>1057540</v>
      </c>
      <c r="O291" s="559" t="s">
        <v>976</v>
      </c>
      <c r="P291" s="549"/>
      <c r="Q291" s="549"/>
      <c r="S291" s="551"/>
      <c r="T291" s="549"/>
    </row>
    <row r="292" spans="1:20" s="550" customFormat="1" ht="27.75" customHeight="1">
      <c r="A292" s="677" t="s">
        <v>977</v>
      </c>
      <c r="B292" s="1401" t="s">
        <v>978</v>
      </c>
      <c r="C292" s="1402"/>
      <c r="D292" s="1403"/>
      <c r="E292" s="686" t="s">
        <v>962</v>
      </c>
      <c r="F292" s="557"/>
      <c r="G292" s="555"/>
      <c r="H292" s="556"/>
      <c r="I292" s="664"/>
      <c r="J292" s="656"/>
      <c r="K292" s="558">
        <f t="shared" si="23"/>
        <v>0</v>
      </c>
      <c r="L292" s="545">
        <f>'[3]ACTA MOD. reformulacion'!K281</f>
        <v>2</v>
      </c>
      <c r="M292" s="546">
        <v>6250020</v>
      </c>
      <c r="N292" s="685">
        <f t="shared" si="22"/>
        <v>12500040</v>
      </c>
      <c r="O292" s="559" t="s">
        <v>979</v>
      </c>
      <c r="P292" s="549"/>
      <c r="Q292" s="549"/>
      <c r="S292" s="551"/>
      <c r="T292" s="549"/>
    </row>
    <row r="293" spans="1:20" s="550" customFormat="1" ht="51.75" customHeight="1">
      <c r="A293" s="677" t="s">
        <v>980</v>
      </c>
      <c r="B293" s="1407" t="s">
        <v>981</v>
      </c>
      <c r="C293" s="1408"/>
      <c r="D293" s="1409"/>
      <c r="E293" s="686" t="s">
        <v>498</v>
      </c>
      <c r="F293" s="557"/>
      <c r="G293" s="555"/>
      <c r="H293" s="556"/>
      <c r="I293" s="664"/>
      <c r="J293" s="656"/>
      <c r="K293" s="558">
        <f t="shared" si="23"/>
        <v>0</v>
      </c>
      <c r="L293" s="545">
        <f>'[3]ACTA MOD. reformulacion'!K282</f>
        <v>17</v>
      </c>
      <c r="M293" s="546">
        <v>638088</v>
      </c>
      <c r="N293" s="685">
        <f t="shared" si="22"/>
        <v>10847496</v>
      </c>
      <c r="O293" s="559" t="s">
        <v>982</v>
      </c>
      <c r="P293" s="549"/>
      <c r="Q293" s="549"/>
      <c r="S293" s="551"/>
      <c r="T293" s="549"/>
    </row>
    <row r="294" spans="1:20" s="550" customFormat="1" ht="30.75" customHeight="1">
      <c r="A294" s="677" t="s">
        <v>983</v>
      </c>
      <c r="B294" s="1401" t="s">
        <v>984</v>
      </c>
      <c r="C294" s="1402"/>
      <c r="D294" s="1403"/>
      <c r="E294" s="686" t="s">
        <v>962</v>
      </c>
      <c r="F294" s="557"/>
      <c r="G294" s="555"/>
      <c r="H294" s="556"/>
      <c r="I294" s="664"/>
      <c r="J294" s="656"/>
      <c r="K294" s="558">
        <f t="shared" si="23"/>
        <v>0</v>
      </c>
      <c r="L294" s="545">
        <f>'[3]ACTA MOD. reformulacion'!K283</f>
        <v>4</v>
      </c>
      <c r="M294" s="546">
        <v>501081</v>
      </c>
      <c r="N294" s="685">
        <f t="shared" si="22"/>
        <v>2004324</v>
      </c>
      <c r="O294" s="559" t="s">
        <v>985</v>
      </c>
      <c r="P294" s="549"/>
      <c r="Q294" s="549"/>
      <c r="S294" s="551"/>
      <c r="T294" s="549"/>
    </row>
    <row r="295" spans="1:20" s="550" customFormat="1" ht="26.25" customHeight="1">
      <c r="A295" s="677" t="s">
        <v>986</v>
      </c>
      <c r="B295" s="1401" t="s">
        <v>987</v>
      </c>
      <c r="C295" s="1402"/>
      <c r="D295" s="1403"/>
      <c r="E295" s="687" t="s">
        <v>163</v>
      </c>
      <c r="F295" s="557"/>
      <c r="G295" s="555"/>
      <c r="H295" s="556"/>
      <c r="I295" s="664"/>
      <c r="J295" s="656"/>
      <c r="K295" s="558">
        <f t="shared" si="23"/>
        <v>0</v>
      </c>
      <c r="L295" s="545">
        <f>'[3]ACTA MOD. reformulacion'!K284</f>
        <v>6.4</v>
      </c>
      <c r="M295" s="546">
        <v>100966</v>
      </c>
      <c r="N295" s="685">
        <f t="shared" si="22"/>
        <v>646182</v>
      </c>
      <c r="O295" s="559" t="s">
        <v>988</v>
      </c>
      <c r="P295" s="549"/>
      <c r="Q295" s="549"/>
      <c r="S295" s="551"/>
      <c r="T295" s="549"/>
    </row>
    <row r="296" spans="1:20" s="550" customFormat="1" ht="21.75" customHeight="1">
      <c r="A296" s="677" t="s">
        <v>989</v>
      </c>
      <c r="B296" s="1401" t="s">
        <v>990</v>
      </c>
      <c r="C296" s="1402"/>
      <c r="D296" s="1403"/>
      <c r="E296" s="687" t="s">
        <v>163</v>
      </c>
      <c r="F296" s="557"/>
      <c r="G296" s="555"/>
      <c r="H296" s="556"/>
      <c r="I296" s="664"/>
      <c r="J296" s="656"/>
      <c r="K296" s="558">
        <f t="shared" si="23"/>
        <v>0</v>
      </c>
      <c r="L296" s="545">
        <f>'[3]ACTA MOD. reformulacion'!K285</f>
        <v>296.98</v>
      </c>
      <c r="M296" s="546">
        <v>14973</v>
      </c>
      <c r="N296" s="685">
        <f t="shared" si="22"/>
        <v>4446682</v>
      </c>
      <c r="O296" s="559" t="s">
        <v>991</v>
      </c>
      <c r="P296" s="549"/>
      <c r="Q296" s="549"/>
      <c r="S296" s="551"/>
      <c r="T296" s="549"/>
    </row>
    <row r="297" spans="1:20" s="550" customFormat="1" ht="25.5" customHeight="1">
      <c r="A297" s="677" t="s">
        <v>992</v>
      </c>
      <c r="B297" s="1404" t="s">
        <v>993</v>
      </c>
      <c r="C297" s="1405"/>
      <c r="D297" s="1406"/>
      <c r="E297" s="687" t="s">
        <v>475</v>
      </c>
      <c r="F297" s="557"/>
      <c r="G297" s="555"/>
      <c r="H297" s="556"/>
      <c r="I297" s="664"/>
      <c r="J297" s="656"/>
      <c r="K297" s="558">
        <f t="shared" si="23"/>
        <v>0</v>
      </c>
      <c r="L297" s="545">
        <f>'[3]ACTA MOD. reformulacion'!K286</f>
        <v>7.96</v>
      </c>
      <c r="M297" s="546">
        <v>163928</v>
      </c>
      <c r="N297" s="685">
        <f t="shared" si="22"/>
        <v>1304867</v>
      </c>
      <c r="O297" s="559" t="s">
        <v>994</v>
      </c>
      <c r="P297" s="549"/>
      <c r="Q297" s="549"/>
      <c r="S297" s="551"/>
      <c r="T297" s="549"/>
    </row>
    <row r="298" spans="1:20" s="550" customFormat="1" ht="25.5" customHeight="1">
      <c r="A298" s="677" t="s">
        <v>995</v>
      </c>
      <c r="B298" s="1401" t="s">
        <v>996</v>
      </c>
      <c r="C298" s="1402"/>
      <c r="D298" s="1403"/>
      <c r="E298" s="687" t="s">
        <v>498</v>
      </c>
      <c r="F298" s="557"/>
      <c r="G298" s="555"/>
      <c r="H298" s="556"/>
      <c r="I298" s="664"/>
      <c r="J298" s="656"/>
      <c r="K298" s="558">
        <f t="shared" si="23"/>
        <v>0</v>
      </c>
      <c r="L298" s="565">
        <f>'[3]ACTA MOD. reformulacion'!K287</f>
        <v>13.2</v>
      </c>
      <c r="M298" s="546">
        <v>93035</v>
      </c>
      <c r="N298" s="685">
        <f t="shared" si="22"/>
        <v>1228062</v>
      </c>
      <c r="O298" s="559" t="s">
        <v>997</v>
      </c>
      <c r="P298" s="549"/>
      <c r="Q298" s="549">
        <f>13.2*93035</f>
        <v>1228062</v>
      </c>
      <c r="S298" s="551"/>
      <c r="T298" s="549"/>
    </row>
    <row r="299" spans="1:20" s="550" customFormat="1" ht="21" customHeight="1">
      <c r="A299" s="677" t="s">
        <v>998</v>
      </c>
      <c r="B299" s="1401" t="s">
        <v>999</v>
      </c>
      <c r="C299" s="1402"/>
      <c r="D299" s="1403"/>
      <c r="E299" s="687" t="s">
        <v>498</v>
      </c>
      <c r="F299" s="557"/>
      <c r="G299" s="555"/>
      <c r="H299" s="556"/>
      <c r="I299" s="664"/>
      <c r="J299" s="656"/>
      <c r="K299" s="558">
        <f t="shared" si="23"/>
        <v>0</v>
      </c>
      <c r="L299" s="545">
        <f>'[3]ACTA MOD. reformulacion'!K288</f>
        <v>194.36</v>
      </c>
      <c r="M299" s="546">
        <v>8076</v>
      </c>
      <c r="N299" s="685">
        <f t="shared" si="22"/>
        <v>1569651</v>
      </c>
      <c r="O299" s="559" t="s">
        <v>1000</v>
      </c>
      <c r="P299" s="549"/>
      <c r="Q299" s="549"/>
      <c r="S299" s="551"/>
      <c r="T299" s="549"/>
    </row>
    <row r="300" spans="1:20" s="550" customFormat="1" ht="24" customHeight="1">
      <c r="A300" s="677" t="s">
        <v>1001</v>
      </c>
      <c r="B300" s="1401" t="s">
        <v>1002</v>
      </c>
      <c r="C300" s="1402"/>
      <c r="D300" s="1403"/>
      <c r="E300" s="687" t="s">
        <v>498</v>
      </c>
      <c r="F300" s="557"/>
      <c r="G300" s="555"/>
      <c r="H300" s="556"/>
      <c r="I300" s="664"/>
      <c r="J300" s="656"/>
      <c r="K300" s="558">
        <f t="shared" si="23"/>
        <v>0</v>
      </c>
      <c r="L300" s="545">
        <f>'[3]ACTA MOD. reformulacion'!K289</f>
        <v>194.36</v>
      </c>
      <c r="M300" s="546">
        <v>5276</v>
      </c>
      <c r="N300" s="685">
        <f t="shared" si="22"/>
        <v>1025443</v>
      </c>
      <c r="O300" s="559" t="s">
        <v>1000</v>
      </c>
      <c r="P300" s="549"/>
      <c r="Q300" s="549"/>
      <c r="S300" s="551"/>
      <c r="T300" s="549"/>
    </row>
    <row r="301" spans="1:20" s="550" customFormat="1" ht="27" customHeight="1">
      <c r="A301" s="677" t="s">
        <v>1003</v>
      </c>
      <c r="B301" s="1401" t="s">
        <v>1004</v>
      </c>
      <c r="C301" s="1402"/>
      <c r="D301" s="1403"/>
      <c r="E301" s="687" t="s">
        <v>498</v>
      </c>
      <c r="F301" s="557"/>
      <c r="G301" s="555"/>
      <c r="H301" s="556"/>
      <c r="I301" s="664"/>
      <c r="J301" s="656"/>
      <c r="K301" s="558">
        <f t="shared" si="23"/>
        <v>0</v>
      </c>
      <c r="L301" s="545">
        <f>'[3]ACTA MOD. reformulacion'!K290</f>
        <v>194.36</v>
      </c>
      <c r="M301" s="546">
        <v>9588</v>
      </c>
      <c r="N301" s="685">
        <f t="shared" si="22"/>
        <v>1863524</v>
      </c>
      <c r="O301" s="559" t="s">
        <v>1000</v>
      </c>
      <c r="P301" s="549"/>
      <c r="Q301" s="549"/>
      <c r="S301" s="551"/>
      <c r="T301" s="549"/>
    </row>
    <row r="302" spans="1:20" s="550" customFormat="1" ht="27" customHeight="1">
      <c r="A302" s="677" t="s">
        <v>1005</v>
      </c>
      <c r="B302" s="1350" t="s">
        <v>1006</v>
      </c>
      <c r="C302" s="1351"/>
      <c r="D302" s="1352"/>
      <c r="E302" s="589" t="s">
        <v>498</v>
      </c>
      <c r="F302" s="557"/>
      <c r="G302" s="555"/>
      <c r="H302" s="556"/>
      <c r="I302" s="664"/>
      <c r="J302" s="656"/>
      <c r="K302" s="558"/>
      <c r="L302" s="545">
        <f>'[3]ACTA MOD. reformulacion'!I291</f>
        <v>276</v>
      </c>
      <c r="M302" s="546">
        <v>41285</v>
      </c>
      <c r="N302" s="685">
        <f t="shared" si="22"/>
        <v>11394660</v>
      </c>
      <c r="O302" s="559" t="s">
        <v>1007</v>
      </c>
      <c r="P302" s="549"/>
      <c r="Q302" s="549"/>
      <c r="S302" s="551"/>
      <c r="T302" s="549"/>
    </row>
    <row r="303" spans="1:20" s="550" customFormat="1" ht="51.75" customHeight="1">
      <c r="A303" s="677" t="s">
        <v>1008</v>
      </c>
      <c r="B303" s="1404" t="s">
        <v>1009</v>
      </c>
      <c r="C303" s="1405"/>
      <c r="D303" s="1406"/>
      <c r="E303" s="589" t="s">
        <v>962</v>
      </c>
      <c r="F303" s="557"/>
      <c r="G303" s="555"/>
      <c r="H303" s="556"/>
      <c r="I303" s="664"/>
      <c r="J303" s="656"/>
      <c r="K303" s="558"/>
      <c r="L303" s="545">
        <f>'[3]ACTA MOD. reformulacion'!I292</f>
        <v>1</v>
      </c>
      <c r="M303" s="546">
        <v>2910000</v>
      </c>
      <c r="N303" s="685">
        <f t="shared" si="22"/>
        <v>2910000</v>
      </c>
      <c r="O303" s="559" t="s">
        <v>1010</v>
      </c>
      <c r="P303" s="549"/>
      <c r="Q303" s="549"/>
      <c r="S303" s="551"/>
      <c r="T303" s="549"/>
    </row>
    <row r="304" spans="1:20" s="550" customFormat="1" ht="33.75" customHeight="1">
      <c r="A304" s="677" t="s">
        <v>1011</v>
      </c>
      <c r="B304" s="1404" t="s">
        <v>1012</v>
      </c>
      <c r="C304" s="1405"/>
      <c r="D304" s="1406"/>
      <c r="E304" s="589" t="s">
        <v>962</v>
      </c>
      <c r="F304" s="557"/>
      <c r="G304" s="555"/>
      <c r="H304" s="556"/>
      <c r="I304" s="664"/>
      <c r="J304" s="656"/>
      <c r="K304" s="558"/>
      <c r="L304" s="545">
        <f>'[3]ACTA MOD. reformulacion'!I293</f>
        <v>2</v>
      </c>
      <c r="M304" s="546">
        <v>4700000</v>
      </c>
      <c r="N304" s="685">
        <f t="shared" si="22"/>
        <v>9400000</v>
      </c>
      <c r="O304" s="559" t="s">
        <v>1013</v>
      </c>
      <c r="P304" s="549"/>
      <c r="Q304" s="549"/>
      <c r="S304" s="551"/>
      <c r="T304" s="549"/>
    </row>
    <row r="305" spans="1:20" s="550" customFormat="1" ht="29.25" customHeight="1">
      <c r="A305" s="677" t="s">
        <v>1014</v>
      </c>
      <c r="B305" s="1404" t="s">
        <v>1015</v>
      </c>
      <c r="C305" s="1405"/>
      <c r="D305" s="1406"/>
      <c r="E305" s="589" t="s">
        <v>962</v>
      </c>
      <c r="F305" s="557"/>
      <c r="G305" s="555"/>
      <c r="H305" s="556"/>
      <c r="I305" s="664"/>
      <c r="J305" s="656"/>
      <c r="K305" s="558"/>
      <c r="L305" s="545">
        <f>'[3]ACTA MOD. reformulacion'!I294</f>
        <v>1</v>
      </c>
      <c r="M305" s="546">
        <v>5830000</v>
      </c>
      <c r="N305" s="685">
        <f t="shared" si="22"/>
        <v>5830000</v>
      </c>
      <c r="O305" s="559" t="s">
        <v>1016</v>
      </c>
      <c r="P305" s="549"/>
      <c r="Q305" s="549"/>
      <c r="S305" s="551"/>
      <c r="T305" s="549"/>
    </row>
    <row r="306" spans="1:20" s="550" customFormat="1" ht="30.75" customHeight="1">
      <c r="A306" s="677" t="s">
        <v>1017</v>
      </c>
      <c r="B306" s="1398" t="s">
        <v>1018</v>
      </c>
      <c r="C306" s="1399"/>
      <c r="D306" s="1400"/>
      <c r="E306" s="589" t="s">
        <v>962</v>
      </c>
      <c r="F306" s="557"/>
      <c r="G306" s="555"/>
      <c r="H306" s="556"/>
      <c r="I306" s="664"/>
      <c r="J306" s="656"/>
      <c r="K306" s="558"/>
      <c r="L306" s="545">
        <f>'[3]ACTA MOD. reformulacion'!I295</f>
        <v>1</v>
      </c>
      <c r="M306" s="546">
        <v>3784500</v>
      </c>
      <c r="N306" s="685">
        <f t="shared" si="22"/>
        <v>3784500</v>
      </c>
      <c r="O306" s="559" t="s">
        <v>1019</v>
      </c>
      <c r="P306" s="549"/>
      <c r="Q306" s="549"/>
      <c r="S306" s="551"/>
      <c r="T306" s="549"/>
    </row>
    <row r="307" spans="1:20" s="550" customFormat="1" ht="27.75" customHeight="1">
      <c r="A307" s="677" t="s">
        <v>1020</v>
      </c>
      <c r="B307" s="1350" t="s">
        <v>1021</v>
      </c>
      <c r="C307" s="1351"/>
      <c r="D307" s="1352"/>
      <c r="E307" s="589" t="s">
        <v>498</v>
      </c>
      <c r="F307" s="557"/>
      <c r="G307" s="555"/>
      <c r="H307" s="556"/>
      <c r="I307" s="664"/>
      <c r="J307" s="656"/>
      <c r="K307" s="558"/>
      <c r="L307" s="545">
        <f>'[3]ACTA MOD. reformulacion'!I296</f>
        <v>55</v>
      </c>
      <c r="M307" s="546">
        <v>43775</v>
      </c>
      <c r="N307" s="685">
        <f t="shared" si="22"/>
        <v>2407625</v>
      </c>
      <c r="O307" s="559" t="s">
        <v>1022</v>
      </c>
      <c r="P307" s="549"/>
      <c r="Q307" s="549"/>
      <c r="S307" s="551"/>
      <c r="T307" s="549"/>
    </row>
    <row r="308" spans="1:20" s="550" customFormat="1" ht="16.5" customHeight="1">
      <c r="A308" s="677" t="s">
        <v>1023</v>
      </c>
      <c r="B308" s="1350" t="s">
        <v>1024</v>
      </c>
      <c r="C308" s="1351"/>
      <c r="D308" s="1352"/>
      <c r="E308" s="589" t="s">
        <v>962</v>
      </c>
      <c r="F308" s="557"/>
      <c r="G308" s="555"/>
      <c r="H308" s="556"/>
      <c r="I308" s="664"/>
      <c r="J308" s="656"/>
      <c r="K308" s="558"/>
      <c r="L308" s="545">
        <f>'[3]ACTA MOD. reformulacion'!I297</f>
        <v>1</v>
      </c>
      <c r="M308" s="546">
        <v>1800000</v>
      </c>
      <c r="N308" s="685">
        <f t="shared" si="22"/>
        <v>1800000</v>
      </c>
      <c r="O308" s="559" t="s">
        <v>1025</v>
      </c>
      <c r="P308" s="549"/>
      <c r="Q308" s="549"/>
      <c r="S308" s="551"/>
      <c r="T308" s="549"/>
    </row>
    <row r="309" spans="1:20" s="550" customFormat="1" ht="27" customHeight="1">
      <c r="A309" s="677" t="s">
        <v>1026</v>
      </c>
      <c r="B309" s="1398" t="s">
        <v>1027</v>
      </c>
      <c r="C309" s="1399"/>
      <c r="D309" s="1400"/>
      <c r="E309" s="687" t="s">
        <v>1028</v>
      </c>
      <c r="F309" s="557"/>
      <c r="G309" s="555"/>
      <c r="H309" s="556"/>
      <c r="I309" s="664"/>
      <c r="J309" s="656"/>
      <c r="K309" s="558">
        <f t="shared" ref="K309:K310" si="24">+ROUND(I309*G309,0)</f>
        <v>0</v>
      </c>
      <c r="L309" s="545">
        <f>'[3]ACTA MOD. reformulacion'!I298</f>
        <v>1</v>
      </c>
      <c r="M309" s="546">
        <v>986008</v>
      </c>
      <c r="N309" s="685">
        <f t="shared" si="22"/>
        <v>986008</v>
      </c>
      <c r="O309" s="559" t="s">
        <v>1029</v>
      </c>
      <c r="P309" s="549"/>
      <c r="Q309" s="549"/>
      <c r="S309" s="551"/>
      <c r="T309" s="549"/>
    </row>
    <row r="310" spans="1:20" s="550" customFormat="1" ht="34.5" customHeight="1">
      <c r="A310" s="677" t="s">
        <v>1030</v>
      </c>
      <c r="B310" s="1340" t="s">
        <v>1031</v>
      </c>
      <c r="C310" s="1341"/>
      <c r="D310" s="1342"/>
      <c r="E310" s="687" t="s">
        <v>1028</v>
      </c>
      <c r="F310" s="557"/>
      <c r="G310" s="555"/>
      <c r="H310" s="556"/>
      <c r="I310" s="664"/>
      <c r="J310" s="656"/>
      <c r="K310" s="558">
        <f t="shared" si="24"/>
        <v>0</v>
      </c>
      <c r="L310" s="545">
        <f>'[3]ACTA MOD. reformulacion'!I299</f>
        <v>2</v>
      </c>
      <c r="M310" s="546">
        <v>1130452</v>
      </c>
      <c r="N310" s="685">
        <f t="shared" si="22"/>
        <v>2260904</v>
      </c>
      <c r="O310" s="559" t="s">
        <v>1032</v>
      </c>
      <c r="P310" s="549"/>
      <c r="Q310" s="549"/>
      <c r="S310" s="551"/>
      <c r="T310" s="549"/>
    </row>
    <row r="311" spans="1:20" s="550" customFormat="1" ht="45" customHeight="1">
      <c r="A311" s="677" t="s">
        <v>1033</v>
      </c>
      <c r="B311" s="1340" t="s">
        <v>1034</v>
      </c>
      <c r="C311" s="1341"/>
      <c r="D311" s="1342"/>
      <c r="E311" s="687" t="s">
        <v>962</v>
      </c>
      <c r="F311" s="557"/>
      <c r="G311" s="555"/>
      <c r="H311" s="556"/>
      <c r="I311" s="664"/>
      <c r="J311" s="656"/>
      <c r="K311" s="558"/>
      <c r="L311" s="545">
        <f>'[3]ACTA MOD. reformulacion'!I300</f>
        <v>1</v>
      </c>
      <c r="M311" s="546">
        <v>607000</v>
      </c>
      <c r="N311" s="685">
        <f t="shared" si="22"/>
        <v>607000</v>
      </c>
      <c r="O311" s="559" t="s">
        <v>1035</v>
      </c>
      <c r="P311" s="549"/>
      <c r="Q311" s="549"/>
      <c r="S311" s="551"/>
      <c r="T311" s="549"/>
    </row>
    <row r="312" spans="1:20" s="692" customFormat="1" ht="25.5" customHeight="1">
      <c r="A312" s="688"/>
      <c r="B312" s="1382"/>
      <c r="C312" s="1383"/>
      <c r="D312" s="1384"/>
      <c r="E312" s="1385" t="s">
        <v>1036</v>
      </c>
      <c r="F312" s="1385"/>
      <c r="G312" s="1385"/>
      <c r="H312" s="611"/>
      <c r="I312" s="689"/>
      <c r="J312" s="690"/>
      <c r="K312" s="611">
        <f>SUM(K282:K311)</f>
        <v>0</v>
      </c>
      <c r="L312" s="545"/>
      <c r="M312" s="546"/>
      <c r="N312" s="611">
        <f>SUM(N282:N311)</f>
        <v>87347991</v>
      </c>
      <c r="O312" s="559"/>
      <c r="P312" s="691"/>
      <c r="Q312" s="691"/>
      <c r="S312" s="693"/>
      <c r="T312" s="691"/>
    </row>
    <row r="313" spans="1:20" s="571" customFormat="1" ht="15" customHeight="1">
      <c r="A313" s="694"/>
      <c r="B313" s="1358"/>
      <c r="C313" s="1358"/>
      <c r="D313" s="1358"/>
      <c r="E313" s="695"/>
      <c r="F313" s="696"/>
      <c r="G313" s="697"/>
      <c r="H313" s="698"/>
      <c r="I313" s="699"/>
      <c r="J313" s="700"/>
      <c r="K313" s="698"/>
      <c r="L313" s="701"/>
      <c r="M313" s="702"/>
      <c r="N313" s="703"/>
      <c r="O313" s="548"/>
      <c r="P313" s="549"/>
      <c r="Q313" s="549"/>
      <c r="S313" s="551"/>
      <c r="T313" s="549"/>
    </row>
    <row r="314" spans="1:20" s="550" customFormat="1" ht="17.25" customHeight="1" thickBot="1">
      <c r="A314" s="704"/>
      <c r="B314" s="1359"/>
      <c r="C314" s="1359"/>
      <c r="D314" s="1359"/>
      <c r="E314" s="705"/>
      <c r="F314" s="706"/>
      <c r="G314" s="707"/>
      <c r="H314" s="708">
        <f>SUM(H278,H266,H248,H165,H138,H113,H96,H45)</f>
        <v>570165150</v>
      </c>
      <c r="I314" s="709"/>
      <c r="J314" s="710"/>
      <c r="K314" s="708">
        <f>SUM(K45,K96,K113,K165+K138+K248+K266+K278+K312)</f>
        <v>569805964</v>
      </c>
      <c r="L314" s="711"/>
      <c r="M314" s="712"/>
      <c r="N314" s="713">
        <f>SUM(N312,N278,N266,N248,N165,N138,N113,N96,N45)</f>
        <v>823657933</v>
      </c>
      <c r="O314" s="548"/>
      <c r="P314" s="549"/>
      <c r="Q314" s="549"/>
      <c r="S314" s="551"/>
      <c r="T314" s="549"/>
    </row>
    <row r="315" spans="1:20" s="550" customFormat="1" ht="15.75" hidden="1" customHeight="1">
      <c r="A315" s="714"/>
      <c r="B315" s="1360"/>
      <c r="C315" s="1361"/>
      <c r="D315" s="1362"/>
      <c r="E315" s="715"/>
      <c r="F315" s="716"/>
      <c r="G315" s="717"/>
      <c r="H315" s="718"/>
      <c r="I315" s="719"/>
      <c r="J315" s="719"/>
      <c r="K315" s="718"/>
      <c r="L315" s="720"/>
      <c r="M315" s="720"/>
      <c r="N315" s="721"/>
      <c r="O315" s="722"/>
      <c r="P315" s="549"/>
      <c r="Q315" s="549"/>
      <c r="S315" s="551"/>
      <c r="T315" s="549"/>
    </row>
    <row r="316" spans="1:20" s="550" customFormat="1" ht="15.75" hidden="1" customHeight="1">
      <c r="A316" s="714"/>
      <c r="B316" s="1360"/>
      <c r="C316" s="1361"/>
      <c r="D316" s="1362"/>
      <c r="E316" s="715"/>
      <c r="F316" s="716"/>
      <c r="G316" s="717"/>
      <c r="H316" s="718"/>
      <c r="I316" s="719"/>
      <c r="J316" s="719"/>
      <c r="K316" s="718"/>
      <c r="L316" s="720"/>
      <c r="M316" s="720"/>
      <c r="N316" s="721"/>
      <c r="O316" s="722"/>
      <c r="P316" s="549"/>
      <c r="Q316" s="549"/>
      <c r="S316" s="551"/>
      <c r="T316" s="549"/>
    </row>
    <row r="317" spans="1:20" s="550" customFormat="1" ht="15.75" hidden="1" customHeight="1">
      <c r="A317" s="714"/>
      <c r="B317" s="1360"/>
      <c r="C317" s="1361"/>
      <c r="D317" s="1362"/>
      <c r="E317" s="715"/>
      <c r="F317" s="716"/>
      <c r="G317" s="717"/>
      <c r="H317" s="718"/>
      <c r="I317" s="719"/>
      <c r="J317" s="719"/>
      <c r="K317" s="718"/>
      <c r="L317" s="720"/>
      <c r="M317" s="720"/>
      <c r="N317" s="721"/>
      <c r="O317" s="722"/>
      <c r="P317" s="549"/>
      <c r="Q317" s="549"/>
      <c r="S317" s="551"/>
      <c r="T317" s="549"/>
    </row>
    <row r="318" spans="1:20" s="550" customFormat="1" ht="15.75" hidden="1" customHeight="1">
      <c r="A318" s="714"/>
      <c r="B318" s="1360"/>
      <c r="C318" s="1361"/>
      <c r="D318" s="1362"/>
      <c r="E318" s="715"/>
      <c r="F318" s="716"/>
      <c r="G318" s="717"/>
      <c r="H318" s="718"/>
      <c r="I318" s="719"/>
      <c r="J318" s="719"/>
      <c r="K318" s="718"/>
      <c r="L318" s="720"/>
      <c r="M318" s="720"/>
      <c r="N318" s="721"/>
      <c r="O318" s="722"/>
      <c r="P318" s="549"/>
      <c r="Q318" s="549"/>
      <c r="S318" s="551"/>
      <c r="T318" s="549"/>
    </row>
    <row r="319" spans="1:20" s="550" customFormat="1" ht="15.75" hidden="1" customHeight="1">
      <c r="A319" s="714"/>
      <c r="B319" s="1360"/>
      <c r="C319" s="1361"/>
      <c r="D319" s="1362"/>
      <c r="E319" s="715"/>
      <c r="F319" s="716"/>
      <c r="G319" s="717"/>
      <c r="H319" s="718"/>
      <c r="I319" s="719"/>
      <c r="J319" s="719"/>
      <c r="K319" s="718"/>
      <c r="L319" s="720"/>
      <c r="M319" s="720"/>
      <c r="N319" s="721"/>
      <c r="O319" s="722"/>
      <c r="P319" s="549"/>
      <c r="Q319" s="549"/>
      <c r="S319" s="551"/>
      <c r="T319" s="549"/>
    </row>
    <row r="320" spans="1:20" s="550" customFormat="1" ht="15.75" hidden="1" customHeight="1">
      <c r="A320" s="714"/>
      <c r="B320" s="1360"/>
      <c r="C320" s="1361"/>
      <c r="D320" s="1362"/>
      <c r="E320" s="715"/>
      <c r="F320" s="716"/>
      <c r="G320" s="717"/>
      <c r="H320" s="718"/>
      <c r="I320" s="719"/>
      <c r="J320" s="719"/>
      <c r="K320" s="718"/>
      <c r="L320" s="720"/>
      <c r="M320" s="720"/>
      <c r="N320" s="721"/>
      <c r="O320" s="722"/>
      <c r="P320" s="549"/>
      <c r="Q320" s="549"/>
      <c r="S320" s="551"/>
      <c r="T320" s="549"/>
    </row>
    <row r="321" spans="1:20" s="550" customFormat="1" ht="15.75" hidden="1" customHeight="1">
      <c r="A321" s="714"/>
      <c r="B321" s="1360"/>
      <c r="C321" s="1361"/>
      <c r="D321" s="1362"/>
      <c r="E321" s="715"/>
      <c r="F321" s="716"/>
      <c r="G321" s="717"/>
      <c r="H321" s="718"/>
      <c r="I321" s="719"/>
      <c r="J321" s="719"/>
      <c r="K321" s="718"/>
      <c r="L321" s="720"/>
      <c r="M321" s="720"/>
      <c r="N321" s="721"/>
      <c r="O321" s="722"/>
      <c r="P321" s="549"/>
      <c r="Q321" s="549"/>
      <c r="S321" s="551"/>
      <c r="T321" s="549"/>
    </row>
    <row r="322" spans="1:20" s="550" customFormat="1" ht="15.75" hidden="1" customHeight="1">
      <c r="A322" s="714"/>
      <c r="B322" s="1360"/>
      <c r="C322" s="1361"/>
      <c r="D322" s="1362"/>
      <c r="E322" s="715"/>
      <c r="F322" s="716"/>
      <c r="G322" s="717"/>
      <c r="H322" s="718"/>
      <c r="I322" s="719"/>
      <c r="J322" s="719"/>
      <c r="K322" s="718"/>
      <c r="L322" s="720"/>
      <c r="M322" s="720"/>
      <c r="N322" s="721"/>
      <c r="O322" s="722"/>
      <c r="P322" s="549"/>
      <c r="Q322" s="549"/>
      <c r="S322" s="551"/>
      <c r="T322" s="549"/>
    </row>
    <row r="323" spans="1:20" s="550" customFormat="1" ht="15.75" hidden="1" customHeight="1">
      <c r="A323" s="714"/>
      <c r="B323" s="1360"/>
      <c r="C323" s="1361"/>
      <c r="D323" s="1362"/>
      <c r="E323" s="715"/>
      <c r="F323" s="716"/>
      <c r="G323" s="717"/>
      <c r="H323" s="718"/>
      <c r="I323" s="719"/>
      <c r="J323" s="719"/>
      <c r="K323" s="718"/>
      <c r="L323" s="720"/>
      <c r="M323" s="720"/>
      <c r="N323" s="721"/>
      <c r="O323" s="722"/>
      <c r="P323" s="549"/>
      <c r="Q323" s="549"/>
      <c r="S323" s="551"/>
      <c r="T323" s="549"/>
    </row>
    <row r="324" spans="1:20" s="550" customFormat="1" ht="15.75" hidden="1" customHeight="1">
      <c r="A324" s="714"/>
      <c r="B324" s="1360"/>
      <c r="C324" s="1361"/>
      <c r="D324" s="1362"/>
      <c r="E324" s="715"/>
      <c r="F324" s="716"/>
      <c r="G324" s="717"/>
      <c r="H324" s="718"/>
      <c r="I324" s="719"/>
      <c r="J324" s="719"/>
      <c r="K324" s="718"/>
      <c r="L324" s="720"/>
      <c r="M324" s="720"/>
      <c r="N324" s="721"/>
      <c r="O324" s="722"/>
      <c r="P324" s="549"/>
      <c r="Q324" s="549"/>
      <c r="S324" s="551"/>
      <c r="T324" s="549"/>
    </row>
    <row r="325" spans="1:20" s="550" customFormat="1" ht="15.75" hidden="1" customHeight="1">
      <c r="A325" s="714"/>
      <c r="B325" s="1360"/>
      <c r="C325" s="1361"/>
      <c r="D325" s="1362"/>
      <c r="E325" s="715"/>
      <c r="F325" s="716"/>
      <c r="G325" s="717"/>
      <c r="H325" s="718"/>
      <c r="I325" s="719"/>
      <c r="J325" s="719"/>
      <c r="K325" s="718"/>
      <c r="L325" s="720"/>
      <c r="M325" s="720"/>
      <c r="N325" s="721"/>
      <c r="O325" s="722"/>
      <c r="P325" s="549"/>
      <c r="Q325" s="549"/>
      <c r="S325" s="551"/>
      <c r="T325" s="549"/>
    </row>
    <row r="326" spans="1:20" s="550" customFormat="1" ht="15.75" hidden="1" customHeight="1">
      <c r="A326" s="714"/>
      <c r="B326" s="1360"/>
      <c r="C326" s="1361"/>
      <c r="D326" s="1362"/>
      <c r="E326" s="715"/>
      <c r="F326" s="716"/>
      <c r="G326" s="717"/>
      <c r="H326" s="718"/>
      <c r="I326" s="719"/>
      <c r="J326" s="719"/>
      <c r="K326" s="718"/>
      <c r="L326" s="720"/>
      <c r="M326" s="720"/>
      <c r="N326" s="721"/>
      <c r="O326" s="722"/>
      <c r="P326" s="549"/>
      <c r="Q326" s="549"/>
      <c r="S326" s="551"/>
      <c r="T326" s="549"/>
    </row>
    <row r="327" spans="1:20" s="550" customFormat="1" ht="15.75" hidden="1" customHeight="1">
      <c r="A327" s="714"/>
      <c r="B327" s="1360"/>
      <c r="C327" s="1361"/>
      <c r="D327" s="1362"/>
      <c r="E327" s="715"/>
      <c r="F327" s="716"/>
      <c r="G327" s="717"/>
      <c r="H327" s="718"/>
      <c r="I327" s="719"/>
      <c r="J327" s="719"/>
      <c r="K327" s="718"/>
      <c r="L327" s="720"/>
      <c r="M327" s="720"/>
      <c r="N327" s="721"/>
      <c r="O327" s="722"/>
      <c r="P327" s="549"/>
      <c r="Q327" s="549"/>
      <c r="S327" s="551"/>
      <c r="T327" s="549"/>
    </row>
    <row r="328" spans="1:20" s="550" customFormat="1" ht="15.75" hidden="1" customHeight="1">
      <c r="A328" s="714"/>
      <c r="B328" s="1360"/>
      <c r="C328" s="1361"/>
      <c r="D328" s="1362"/>
      <c r="E328" s="715"/>
      <c r="F328" s="716"/>
      <c r="G328" s="717"/>
      <c r="H328" s="718"/>
      <c r="I328" s="719"/>
      <c r="J328" s="719"/>
      <c r="K328" s="718"/>
      <c r="L328" s="720"/>
      <c r="M328" s="720"/>
      <c r="N328" s="721"/>
      <c r="O328" s="722"/>
      <c r="P328" s="549"/>
      <c r="Q328" s="549"/>
      <c r="S328" s="551"/>
      <c r="T328" s="549"/>
    </row>
    <row r="329" spans="1:20" s="550" customFormat="1" ht="15.75" hidden="1" customHeight="1">
      <c r="A329" s="714"/>
      <c r="B329" s="1360"/>
      <c r="C329" s="1361"/>
      <c r="D329" s="1362"/>
      <c r="E329" s="715"/>
      <c r="F329" s="716"/>
      <c r="G329" s="717"/>
      <c r="H329" s="718"/>
      <c r="I329" s="719"/>
      <c r="J329" s="719"/>
      <c r="K329" s="718"/>
      <c r="L329" s="720"/>
      <c r="M329" s="720"/>
      <c r="N329" s="721"/>
      <c r="O329" s="722"/>
      <c r="P329" s="549"/>
      <c r="Q329" s="549"/>
      <c r="S329" s="551"/>
      <c r="T329" s="549"/>
    </row>
    <row r="330" spans="1:20" s="550" customFormat="1" ht="15.75" hidden="1" customHeight="1">
      <c r="A330" s="714"/>
      <c r="B330" s="1360"/>
      <c r="C330" s="1361"/>
      <c r="D330" s="1362"/>
      <c r="E330" s="715"/>
      <c r="F330" s="716"/>
      <c r="G330" s="717"/>
      <c r="H330" s="718"/>
      <c r="I330" s="719"/>
      <c r="J330" s="719"/>
      <c r="K330" s="718"/>
      <c r="L330" s="720"/>
      <c r="M330" s="720"/>
      <c r="N330" s="721"/>
      <c r="O330" s="722"/>
      <c r="P330" s="549"/>
      <c r="Q330" s="549"/>
      <c r="S330" s="551"/>
      <c r="T330" s="549"/>
    </row>
    <row r="331" spans="1:20" s="550" customFormat="1" ht="15.75" hidden="1" customHeight="1">
      <c r="A331" s="714"/>
      <c r="B331" s="1360"/>
      <c r="C331" s="1361"/>
      <c r="D331" s="1362"/>
      <c r="E331" s="715"/>
      <c r="F331" s="716"/>
      <c r="G331" s="717"/>
      <c r="H331" s="718"/>
      <c r="I331" s="719"/>
      <c r="J331" s="719"/>
      <c r="K331" s="718"/>
      <c r="L331" s="720"/>
      <c r="M331" s="720"/>
      <c r="N331" s="721"/>
      <c r="O331" s="722"/>
      <c r="P331" s="549"/>
      <c r="Q331" s="549"/>
      <c r="S331" s="551"/>
      <c r="T331" s="549"/>
    </row>
    <row r="332" spans="1:20" s="550" customFormat="1" ht="15.75" hidden="1" customHeight="1">
      <c r="A332" s="714"/>
      <c r="B332" s="1360"/>
      <c r="C332" s="1361"/>
      <c r="D332" s="1362"/>
      <c r="E332" s="715"/>
      <c r="F332" s="716"/>
      <c r="G332" s="717"/>
      <c r="H332" s="718"/>
      <c r="I332" s="719"/>
      <c r="J332" s="719"/>
      <c r="K332" s="718"/>
      <c r="L332" s="720"/>
      <c r="M332" s="720"/>
      <c r="N332" s="721"/>
      <c r="O332" s="722"/>
      <c r="P332" s="549"/>
      <c r="Q332" s="549"/>
      <c r="S332" s="551"/>
      <c r="T332" s="549"/>
    </row>
    <row r="333" spans="1:20" s="550" customFormat="1" ht="15.75" hidden="1" customHeight="1">
      <c r="A333" s="714"/>
      <c r="B333" s="1360"/>
      <c r="C333" s="1361"/>
      <c r="D333" s="1362"/>
      <c r="E333" s="715"/>
      <c r="F333" s="716"/>
      <c r="G333" s="717"/>
      <c r="H333" s="718"/>
      <c r="I333" s="719"/>
      <c r="J333" s="719"/>
      <c r="K333" s="718"/>
      <c r="L333" s="720"/>
      <c r="M333" s="720"/>
      <c r="N333" s="721"/>
      <c r="O333" s="722"/>
      <c r="P333" s="549"/>
      <c r="Q333" s="549"/>
      <c r="S333" s="551"/>
      <c r="T333" s="549"/>
    </row>
    <row r="334" spans="1:20" s="550" customFormat="1" ht="15.75" hidden="1" customHeight="1">
      <c r="A334" s="714"/>
      <c r="B334" s="1360"/>
      <c r="C334" s="1361"/>
      <c r="D334" s="1362"/>
      <c r="E334" s="715"/>
      <c r="F334" s="716"/>
      <c r="G334" s="717"/>
      <c r="H334" s="718"/>
      <c r="I334" s="719"/>
      <c r="J334" s="719"/>
      <c r="K334" s="718"/>
      <c r="L334" s="720"/>
      <c r="M334" s="720"/>
      <c r="N334" s="721"/>
      <c r="O334" s="722"/>
      <c r="P334" s="549"/>
      <c r="Q334" s="549"/>
      <c r="S334" s="551"/>
      <c r="T334" s="549"/>
    </row>
    <row r="335" spans="1:20" s="550" customFormat="1" ht="15.75" hidden="1" customHeight="1">
      <c r="A335" s="714"/>
      <c r="B335" s="1360"/>
      <c r="C335" s="1361"/>
      <c r="D335" s="1362"/>
      <c r="E335" s="715"/>
      <c r="F335" s="716"/>
      <c r="G335" s="717"/>
      <c r="H335" s="718"/>
      <c r="I335" s="719"/>
      <c r="J335" s="719"/>
      <c r="K335" s="718"/>
      <c r="L335" s="720"/>
      <c r="M335" s="720"/>
      <c r="N335" s="721"/>
      <c r="O335" s="722"/>
      <c r="P335" s="549"/>
      <c r="Q335" s="549"/>
      <c r="S335" s="551"/>
      <c r="T335" s="549"/>
    </row>
    <row r="336" spans="1:20" s="550" customFormat="1" ht="15.75" hidden="1" customHeight="1">
      <c r="A336" s="714"/>
      <c r="B336" s="1360"/>
      <c r="C336" s="1361"/>
      <c r="D336" s="1362"/>
      <c r="E336" s="715"/>
      <c r="F336" s="716"/>
      <c r="G336" s="717"/>
      <c r="H336" s="718"/>
      <c r="I336" s="719"/>
      <c r="J336" s="719"/>
      <c r="K336" s="718"/>
      <c r="L336" s="720"/>
      <c r="M336" s="720"/>
      <c r="N336" s="721"/>
      <c r="O336" s="722"/>
      <c r="P336" s="549"/>
      <c r="Q336" s="549"/>
      <c r="S336" s="551"/>
      <c r="T336" s="549"/>
    </row>
    <row r="337" spans="1:20" s="550" customFormat="1" ht="15.75" hidden="1" customHeight="1">
      <c r="A337" s="714"/>
      <c r="B337" s="1360"/>
      <c r="C337" s="1361"/>
      <c r="D337" s="1362"/>
      <c r="E337" s="715"/>
      <c r="F337" s="716"/>
      <c r="G337" s="717"/>
      <c r="H337" s="718"/>
      <c r="I337" s="719"/>
      <c r="J337" s="719"/>
      <c r="K337" s="718"/>
      <c r="L337" s="720"/>
      <c r="M337" s="720"/>
      <c r="N337" s="721"/>
      <c r="O337" s="722"/>
      <c r="P337" s="549"/>
      <c r="Q337" s="549"/>
      <c r="S337" s="551"/>
      <c r="T337" s="549"/>
    </row>
    <row r="338" spans="1:20" s="550" customFormat="1" ht="15.75" hidden="1" customHeight="1">
      <c r="A338" s="714"/>
      <c r="B338" s="1360"/>
      <c r="C338" s="1361"/>
      <c r="D338" s="1362"/>
      <c r="E338" s="715"/>
      <c r="F338" s="716"/>
      <c r="G338" s="717"/>
      <c r="H338" s="718"/>
      <c r="I338" s="719"/>
      <c r="J338" s="719"/>
      <c r="K338" s="718"/>
      <c r="L338" s="720"/>
      <c r="M338" s="720"/>
      <c r="N338" s="721"/>
      <c r="O338" s="722"/>
      <c r="P338" s="549"/>
      <c r="Q338" s="549"/>
      <c r="S338" s="551"/>
      <c r="T338" s="549"/>
    </row>
    <row r="339" spans="1:20" s="550" customFormat="1" ht="15.75" hidden="1" customHeight="1">
      <c r="A339" s="714"/>
      <c r="B339" s="1360"/>
      <c r="C339" s="1361"/>
      <c r="D339" s="1362"/>
      <c r="E339" s="715"/>
      <c r="F339" s="716"/>
      <c r="G339" s="717"/>
      <c r="H339" s="718"/>
      <c r="I339" s="719"/>
      <c r="J339" s="719"/>
      <c r="K339" s="718"/>
      <c r="L339" s="720"/>
      <c r="M339" s="720"/>
      <c r="N339" s="721"/>
      <c r="O339" s="722"/>
      <c r="P339" s="549"/>
      <c r="Q339" s="549"/>
      <c r="S339" s="551"/>
      <c r="T339" s="549"/>
    </row>
    <row r="340" spans="1:20" s="550" customFormat="1" ht="15.75" hidden="1" customHeight="1">
      <c r="A340" s="714"/>
      <c r="B340" s="1360"/>
      <c r="C340" s="1361"/>
      <c r="D340" s="1362"/>
      <c r="E340" s="715"/>
      <c r="F340" s="716"/>
      <c r="G340" s="717"/>
      <c r="H340" s="718"/>
      <c r="I340" s="719"/>
      <c r="J340" s="719"/>
      <c r="K340" s="718"/>
      <c r="L340" s="720"/>
      <c r="M340" s="720"/>
      <c r="N340" s="721"/>
      <c r="O340" s="722"/>
      <c r="P340" s="549"/>
      <c r="Q340" s="549"/>
      <c r="S340" s="551"/>
      <c r="T340" s="549"/>
    </row>
    <row r="341" spans="1:20" s="550" customFormat="1" ht="15.75" hidden="1" customHeight="1">
      <c r="A341" s="714"/>
      <c r="B341" s="1360"/>
      <c r="C341" s="1361"/>
      <c r="D341" s="1362"/>
      <c r="E341" s="715"/>
      <c r="F341" s="716"/>
      <c r="G341" s="717"/>
      <c r="H341" s="718"/>
      <c r="I341" s="719"/>
      <c r="J341" s="719"/>
      <c r="K341" s="718"/>
      <c r="L341" s="720"/>
      <c r="M341" s="720"/>
      <c r="N341" s="721"/>
      <c r="O341" s="722"/>
      <c r="P341" s="549"/>
      <c r="Q341" s="549"/>
      <c r="S341" s="551"/>
      <c r="T341" s="549"/>
    </row>
    <row r="342" spans="1:20" s="550" customFormat="1" ht="15.75" hidden="1" customHeight="1">
      <c r="A342" s="714"/>
      <c r="B342" s="1360"/>
      <c r="C342" s="1361"/>
      <c r="D342" s="1362"/>
      <c r="E342" s="715"/>
      <c r="F342" s="716"/>
      <c r="G342" s="717"/>
      <c r="H342" s="718"/>
      <c r="I342" s="719"/>
      <c r="J342" s="719"/>
      <c r="K342" s="718"/>
      <c r="L342" s="720"/>
      <c r="M342" s="720"/>
      <c r="N342" s="721"/>
      <c r="O342" s="722"/>
      <c r="P342" s="549"/>
      <c r="Q342" s="549"/>
      <c r="S342" s="551"/>
      <c r="T342" s="549"/>
    </row>
    <row r="343" spans="1:20" s="550" customFormat="1" ht="15.75" hidden="1" customHeight="1">
      <c r="A343" s="714"/>
      <c r="B343" s="1365"/>
      <c r="C343" s="1366"/>
      <c r="D343" s="1367"/>
      <c r="E343" s="715"/>
      <c r="F343" s="716"/>
      <c r="G343" s="717"/>
      <c r="H343" s="718"/>
      <c r="I343" s="719"/>
      <c r="J343" s="719"/>
      <c r="K343" s="718"/>
      <c r="L343" s="720"/>
      <c r="M343" s="720"/>
      <c r="N343" s="721"/>
      <c r="O343" s="722"/>
      <c r="P343" s="549"/>
      <c r="Q343" s="549"/>
      <c r="S343" s="551"/>
      <c r="T343" s="549"/>
    </row>
    <row r="344" spans="1:20" s="729" customFormat="1" ht="25.5" customHeight="1">
      <c r="A344" s="723"/>
      <c r="B344" s="724"/>
      <c r="C344" s="724"/>
      <c r="D344" s="724"/>
      <c r="E344" s="725"/>
      <c r="F344" s="725"/>
      <c r="G344" s="725"/>
      <c r="H344" s="725"/>
      <c r="I344" s="725"/>
      <c r="J344" s="725"/>
      <c r="K344" s="725"/>
      <c r="L344" s="726"/>
      <c r="M344" s="726"/>
      <c r="N344" s="726"/>
      <c r="O344" s="727"/>
      <c r="P344" s="728"/>
      <c r="Q344" s="728"/>
    </row>
    <row r="345" spans="1:20" s="729" customFormat="1" ht="25.5" customHeight="1">
      <c r="A345" s="723"/>
      <c r="B345" s="724"/>
      <c r="C345" s="724"/>
      <c r="D345" s="724"/>
      <c r="E345" s="730"/>
      <c r="F345" s="730"/>
      <c r="G345" s="730"/>
      <c r="H345" s="730"/>
      <c r="I345" s="730"/>
      <c r="J345" s="730"/>
      <c r="K345" s="730"/>
      <c r="L345" s="731"/>
      <c r="M345" s="731"/>
      <c r="N345" s="731"/>
      <c r="O345" s="727"/>
      <c r="P345" s="728"/>
      <c r="Q345" s="728"/>
    </row>
    <row r="346" spans="1:20" s="729" customFormat="1" ht="25.5" customHeight="1">
      <c r="A346" s="723"/>
      <c r="B346" s="724"/>
      <c r="C346" s="724"/>
      <c r="D346" s="730"/>
      <c r="E346" s="730"/>
      <c r="F346" s="730"/>
      <c r="G346" s="730"/>
      <c r="H346" s="730"/>
      <c r="I346" s="730"/>
      <c r="J346" s="730"/>
      <c r="K346" s="730"/>
      <c r="L346" s="732"/>
      <c r="M346" s="732"/>
      <c r="N346" s="733"/>
      <c r="O346" s="734"/>
    </row>
    <row r="347" spans="1:20" s="729" customFormat="1" ht="25.5" customHeight="1">
      <c r="A347" s="723"/>
      <c r="B347" s="724"/>
      <c r="C347" s="724"/>
      <c r="D347" s="1368"/>
      <c r="E347" s="1368"/>
      <c r="F347" s="1368"/>
      <c r="G347" s="1368"/>
      <c r="H347" s="735"/>
      <c r="I347" s="736"/>
      <c r="J347" s="737" t="s">
        <v>1046</v>
      </c>
      <c r="K347" s="738"/>
      <c r="L347" s="739"/>
      <c r="M347" s="1369" t="s">
        <v>1047</v>
      </c>
      <c r="N347" s="1369"/>
      <c r="O347" s="1397"/>
    </row>
    <row r="348" spans="1:20" s="729" customFormat="1" ht="25.5" customHeight="1">
      <c r="A348" s="723"/>
      <c r="B348" s="724"/>
      <c r="C348" s="724"/>
      <c r="D348" s="1371" t="s">
        <v>1037</v>
      </c>
      <c r="E348" s="1371"/>
      <c r="F348" s="1371"/>
      <c r="G348" s="1371"/>
      <c r="H348" s="735"/>
      <c r="I348" s="740"/>
      <c r="J348" s="741" t="s">
        <v>1038</v>
      </c>
      <c r="K348" s="739"/>
      <c r="L348" s="739"/>
      <c r="M348" s="1363" t="s">
        <v>466</v>
      </c>
      <c r="N348" s="1363"/>
      <c r="O348" s="1396"/>
    </row>
    <row r="349" spans="1:20" s="729" customFormat="1" ht="18.75">
      <c r="A349" s="723"/>
      <c r="B349" s="724"/>
      <c r="C349" s="724"/>
      <c r="D349" s="1371"/>
      <c r="E349" s="1371"/>
      <c r="F349" s="1371"/>
      <c r="G349" s="1371"/>
      <c r="H349" s="735"/>
      <c r="I349" s="740"/>
      <c r="J349" s="741"/>
      <c r="K349" s="739"/>
      <c r="L349" s="739"/>
      <c r="M349" s="1363"/>
      <c r="N349" s="1363"/>
      <c r="O349" s="1396"/>
    </row>
    <row r="350" spans="1:20" s="729" customFormat="1" ht="25.5" customHeight="1">
      <c r="A350" s="723"/>
      <c r="B350" s="724"/>
      <c r="C350" s="724"/>
      <c r="D350" s="724"/>
      <c r="E350" s="742"/>
      <c r="F350" s="742"/>
      <c r="G350" s="743"/>
      <c r="H350" s="735"/>
      <c r="I350" s="740"/>
      <c r="J350" s="741"/>
      <c r="K350" s="739"/>
      <c r="L350" s="739"/>
      <c r="M350" s="741"/>
      <c r="N350" s="741"/>
      <c r="O350" s="744"/>
    </row>
    <row r="351" spans="1:20" s="729" customFormat="1" ht="15.75" customHeight="1">
      <c r="A351" s="723"/>
      <c r="B351" s="724"/>
      <c r="C351" s="724"/>
      <c r="D351" s="724"/>
      <c r="E351" s="742"/>
      <c r="F351" s="742"/>
      <c r="G351" s="743"/>
      <c r="H351" s="735"/>
      <c r="I351" s="740"/>
      <c r="J351" s="741"/>
      <c r="K351" s="739"/>
      <c r="L351" s="739"/>
      <c r="M351" s="741"/>
      <c r="N351" s="741"/>
      <c r="O351" s="744"/>
    </row>
    <row r="352" spans="1:20" s="729" customFormat="1" ht="15.75" customHeight="1">
      <c r="A352" s="723"/>
      <c r="B352" s="724"/>
      <c r="C352" s="724"/>
      <c r="D352" s="724"/>
      <c r="E352" s="742"/>
      <c r="F352" s="742"/>
      <c r="G352" s="743"/>
      <c r="H352" s="735"/>
      <c r="I352" s="740"/>
      <c r="J352" s="741"/>
      <c r="K352" s="739"/>
      <c r="L352" s="739"/>
      <c r="M352" s="741"/>
      <c r="N352" s="741"/>
      <c r="O352" s="744"/>
    </row>
    <row r="353" spans="1:15" s="729" customFormat="1" ht="26.25" customHeight="1">
      <c r="A353" s="723"/>
      <c r="B353" s="724"/>
      <c r="C353" s="724"/>
      <c r="D353" s="724"/>
      <c r="E353" s="742"/>
      <c r="F353" s="742"/>
      <c r="G353" s="743"/>
      <c r="H353" s="735"/>
      <c r="I353" s="736"/>
      <c r="J353" s="737" t="s">
        <v>1048</v>
      </c>
      <c r="K353" s="738"/>
      <c r="L353" s="739"/>
      <c r="M353" s="741"/>
      <c r="N353" s="741"/>
      <c r="O353" s="744"/>
    </row>
    <row r="354" spans="1:15" s="729" customFormat="1" ht="25.5" customHeight="1">
      <c r="A354" s="745"/>
      <c r="B354" s="746"/>
      <c r="C354" s="747"/>
      <c r="D354" s="747"/>
      <c r="E354" s="742"/>
      <c r="F354" s="742"/>
      <c r="G354" s="743"/>
      <c r="H354" s="735"/>
      <c r="I354" s="740"/>
      <c r="J354" s="741" t="s">
        <v>1039</v>
      </c>
      <c r="K354" s="739"/>
      <c r="L354" s="739"/>
      <c r="M354" s="741"/>
      <c r="N354" s="741"/>
      <c r="O354" s="744"/>
    </row>
    <row r="355" spans="1:15" ht="25.5" customHeight="1" thickBot="1">
      <c r="A355" s="748"/>
      <c r="B355" s="749"/>
      <c r="C355" s="749"/>
      <c r="D355" s="749"/>
      <c r="E355" s="750"/>
      <c r="F355" s="750"/>
      <c r="G355" s="751"/>
      <c r="H355" s="752"/>
      <c r="I355" s="753"/>
      <c r="J355" s="754" t="s">
        <v>1040</v>
      </c>
      <c r="K355" s="755"/>
      <c r="L355" s="755"/>
      <c r="M355" s="754"/>
      <c r="N355" s="754"/>
      <c r="O355" s="756"/>
    </row>
    <row r="356" spans="1:15" ht="25.5" customHeight="1">
      <c r="E356" s="758"/>
      <c r="F356" s="758"/>
      <c r="G356" s="759"/>
      <c r="H356" s="760"/>
      <c r="I356" s="761"/>
      <c r="J356" s="761"/>
      <c r="K356" s="761"/>
      <c r="L356" s="762"/>
      <c r="M356" s="763"/>
      <c r="N356" s="763"/>
      <c r="O356" s="763"/>
    </row>
    <row r="357" spans="1:15" ht="25.5" customHeight="1">
      <c r="G357" s="765"/>
      <c r="H357" s="766"/>
      <c r="I357" s="765"/>
      <c r="J357" s="765"/>
      <c r="K357" s="766"/>
      <c r="L357" s="767"/>
      <c r="M357" s="767"/>
      <c r="N357" s="767"/>
    </row>
    <row r="358" spans="1:15">
      <c r="G358" s="765"/>
      <c r="H358" s="766"/>
      <c r="I358" s="765"/>
      <c r="J358" s="765"/>
      <c r="K358" s="766"/>
      <c r="L358" s="767"/>
      <c r="M358" s="767"/>
      <c r="N358" s="767"/>
    </row>
  </sheetData>
  <mergeCells count="414">
    <mergeCell ref="E18:E20"/>
    <mergeCell ref="F18:H20"/>
    <mergeCell ref="I18:K20"/>
    <mergeCell ref="L18:N20"/>
    <mergeCell ref="O18:O20"/>
    <mergeCell ref="B20:D20"/>
    <mergeCell ref="B15:D16"/>
    <mergeCell ref="E15:G15"/>
    <mergeCell ref="H15:N15"/>
    <mergeCell ref="E16:F16"/>
    <mergeCell ref="G16:N16"/>
    <mergeCell ref="B17:D17"/>
    <mergeCell ref="E17:F17"/>
    <mergeCell ref="G17:N17"/>
    <mergeCell ref="B33:D33"/>
    <mergeCell ref="B34:D34"/>
    <mergeCell ref="B35:D35"/>
    <mergeCell ref="B36:D36"/>
    <mergeCell ref="B37:D37"/>
    <mergeCell ref="B38:D38"/>
    <mergeCell ref="F21:G21"/>
    <mergeCell ref="O21:O31"/>
    <mergeCell ref="B27:E27"/>
    <mergeCell ref="B29:E29"/>
    <mergeCell ref="B31:D31"/>
    <mergeCell ref="B32:D32"/>
    <mergeCell ref="F44:G44"/>
    <mergeCell ref="I44:J44"/>
    <mergeCell ref="B45:D45"/>
    <mergeCell ref="B46:D46"/>
    <mergeCell ref="B47:D47"/>
    <mergeCell ref="B48:D48"/>
    <mergeCell ref="B39:D39"/>
    <mergeCell ref="B40:D40"/>
    <mergeCell ref="B41:D41"/>
    <mergeCell ref="B42:D42"/>
    <mergeCell ref="B43:D43"/>
    <mergeCell ref="B44:D44"/>
    <mergeCell ref="F54:G54"/>
    <mergeCell ref="I54:J54"/>
    <mergeCell ref="B55:D55"/>
    <mergeCell ref="B56:D56"/>
    <mergeCell ref="B57:D57"/>
    <mergeCell ref="B58:D58"/>
    <mergeCell ref="B49:D49"/>
    <mergeCell ref="B50:D50"/>
    <mergeCell ref="B51:D51"/>
    <mergeCell ref="B52:D52"/>
    <mergeCell ref="B53:D53"/>
    <mergeCell ref="B54:D54"/>
    <mergeCell ref="F73:G73"/>
    <mergeCell ref="I73:J73"/>
    <mergeCell ref="I63:J63"/>
    <mergeCell ref="B64:D64"/>
    <mergeCell ref="B65:D65"/>
    <mergeCell ref="B66:D66"/>
    <mergeCell ref="B67:D67"/>
    <mergeCell ref="B68:D68"/>
    <mergeCell ref="B59:D59"/>
    <mergeCell ref="B60:D60"/>
    <mergeCell ref="B61:D61"/>
    <mergeCell ref="B62:D62"/>
    <mergeCell ref="B63:D63"/>
    <mergeCell ref="F63:G63"/>
    <mergeCell ref="B74:D74"/>
    <mergeCell ref="B75:D75"/>
    <mergeCell ref="B76:D76"/>
    <mergeCell ref="B77:D77"/>
    <mergeCell ref="B78:D78"/>
    <mergeCell ref="B79:D79"/>
    <mergeCell ref="B69:D69"/>
    <mergeCell ref="B70:D70"/>
    <mergeCell ref="B71:D71"/>
    <mergeCell ref="B72:D72"/>
    <mergeCell ref="B84:D84"/>
    <mergeCell ref="B85:D85"/>
    <mergeCell ref="B86:D86"/>
    <mergeCell ref="B87:D87"/>
    <mergeCell ref="B88:D88"/>
    <mergeCell ref="B89:D89"/>
    <mergeCell ref="F79:G79"/>
    <mergeCell ref="I79:J79"/>
    <mergeCell ref="B80:D80"/>
    <mergeCell ref="B81:D81"/>
    <mergeCell ref="B82:D82"/>
    <mergeCell ref="B83:D83"/>
    <mergeCell ref="F95:G95"/>
    <mergeCell ref="I95:J95"/>
    <mergeCell ref="B97:D97"/>
    <mergeCell ref="B98:D98"/>
    <mergeCell ref="B99:D99"/>
    <mergeCell ref="B100:D100"/>
    <mergeCell ref="B90:D90"/>
    <mergeCell ref="B91:D91"/>
    <mergeCell ref="B92:D92"/>
    <mergeCell ref="B93:D93"/>
    <mergeCell ref="B94:D94"/>
    <mergeCell ref="A95:D95"/>
    <mergeCell ref="F112:G112"/>
    <mergeCell ref="I112:J112"/>
    <mergeCell ref="B105:D105"/>
    <mergeCell ref="B106:D106"/>
    <mergeCell ref="B107:D107"/>
    <mergeCell ref="B108:D108"/>
    <mergeCell ref="F108:G108"/>
    <mergeCell ref="I108:J108"/>
    <mergeCell ref="B101:D101"/>
    <mergeCell ref="B102:D102"/>
    <mergeCell ref="B103:D103"/>
    <mergeCell ref="B104:D104"/>
    <mergeCell ref="F104:G104"/>
    <mergeCell ref="I104:J104"/>
    <mergeCell ref="B114:D114"/>
    <mergeCell ref="B115:D115"/>
    <mergeCell ref="B116:D116"/>
    <mergeCell ref="B117:D117"/>
    <mergeCell ref="B118:D118"/>
    <mergeCell ref="B119:D119"/>
    <mergeCell ref="B109:D109"/>
    <mergeCell ref="B110:D110"/>
    <mergeCell ref="B111:D111"/>
    <mergeCell ref="A112:D112"/>
    <mergeCell ref="B124:D124"/>
    <mergeCell ref="B125:D125"/>
    <mergeCell ref="B126:D126"/>
    <mergeCell ref="A127:D127"/>
    <mergeCell ref="F127:G127"/>
    <mergeCell ref="I127:J127"/>
    <mergeCell ref="F119:G119"/>
    <mergeCell ref="I119:J119"/>
    <mergeCell ref="B120:D120"/>
    <mergeCell ref="B121:D121"/>
    <mergeCell ref="B122:D122"/>
    <mergeCell ref="A123:D123"/>
    <mergeCell ref="F123:G123"/>
    <mergeCell ref="I123:J123"/>
    <mergeCell ref="I132:J132"/>
    <mergeCell ref="B133:D133"/>
    <mergeCell ref="B134:D134"/>
    <mergeCell ref="B135:D135"/>
    <mergeCell ref="B136:D136"/>
    <mergeCell ref="A137:D137"/>
    <mergeCell ref="F137:G137"/>
    <mergeCell ref="I137:J137"/>
    <mergeCell ref="B128:D128"/>
    <mergeCell ref="B129:D129"/>
    <mergeCell ref="B130:D130"/>
    <mergeCell ref="B131:D131"/>
    <mergeCell ref="A132:D132"/>
    <mergeCell ref="F132:G132"/>
    <mergeCell ref="F144:G144"/>
    <mergeCell ref="I144:J144"/>
    <mergeCell ref="B145:D145"/>
    <mergeCell ref="B146:D146"/>
    <mergeCell ref="A147:D147"/>
    <mergeCell ref="F147:G147"/>
    <mergeCell ref="I147:J147"/>
    <mergeCell ref="B139:D139"/>
    <mergeCell ref="B140:D140"/>
    <mergeCell ref="B141:D141"/>
    <mergeCell ref="B142:D142"/>
    <mergeCell ref="B143:D143"/>
    <mergeCell ref="A144:D144"/>
    <mergeCell ref="I152:J152"/>
    <mergeCell ref="B153:D153"/>
    <mergeCell ref="B154:D154"/>
    <mergeCell ref="B155:D155"/>
    <mergeCell ref="B156:D156"/>
    <mergeCell ref="B157:D157"/>
    <mergeCell ref="B148:D148"/>
    <mergeCell ref="B149:D149"/>
    <mergeCell ref="B150:D150"/>
    <mergeCell ref="B151:D151"/>
    <mergeCell ref="A152:D152"/>
    <mergeCell ref="F152:G152"/>
    <mergeCell ref="B162:D162"/>
    <mergeCell ref="B163:D163"/>
    <mergeCell ref="A164:D164"/>
    <mergeCell ref="F164:G164"/>
    <mergeCell ref="I164:J164"/>
    <mergeCell ref="B166:D166"/>
    <mergeCell ref="A158:D158"/>
    <mergeCell ref="F158:G158"/>
    <mergeCell ref="I158:J158"/>
    <mergeCell ref="B159:D159"/>
    <mergeCell ref="B160:D160"/>
    <mergeCell ref="A161:D161"/>
    <mergeCell ref="F161:G161"/>
    <mergeCell ref="I161:J161"/>
    <mergeCell ref="I180:J180"/>
    <mergeCell ref="B173:D173"/>
    <mergeCell ref="B174:D174"/>
    <mergeCell ref="B175:D175"/>
    <mergeCell ref="A176:D176"/>
    <mergeCell ref="F176:G176"/>
    <mergeCell ref="I176:J176"/>
    <mergeCell ref="B167:D167"/>
    <mergeCell ref="B168:D168"/>
    <mergeCell ref="B169:D169"/>
    <mergeCell ref="B170:D170"/>
    <mergeCell ref="B171:D171"/>
    <mergeCell ref="B172:D172"/>
    <mergeCell ref="B181:D181"/>
    <mergeCell ref="B182:D182"/>
    <mergeCell ref="B183:D183"/>
    <mergeCell ref="B184:D184"/>
    <mergeCell ref="A185:D185"/>
    <mergeCell ref="F185:G185"/>
    <mergeCell ref="B177:D177"/>
    <mergeCell ref="B178:D178"/>
    <mergeCell ref="B179:D179"/>
    <mergeCell ref="A180:D180"/>
    <mergeCell ref="F180:G180"/>
    <mergeCell ref="B191:D191"/>
    <mergeCell ref="B192:D192"/>
    <mergeCell ref="B193:D193"/>
    <mergeCell ref="B194:D194"/>
    <mergeCell ref="B195:D195"/>
    <mergeCell ref="B196:D196"/>
    <mergeCell ref="I185:J185"/>
    <mergeCell ref="B186:D186"/>
    <mergeCell ref="B187:D187"/>
    <mergeCell ref="B188:D188"/>
    <mergeCell ref="B189:D189"/>
    <mergeCell ref="B190:D190"/>
    <mergeCell ref="B203:D203"/>
    <mergeCell ref="B204:D204"/>
    <mergeCell ref="B205:D205"/>
    <mergeCell ref="B206:D206"/>
    <mergeCell ref="B207:D207"/>
    <mergeCell ref="B208:D208"/>
    <mergeCell ref="B197:D197"/>
    <mergeCell ref="B198:D198"/>
    <mergeCell ref="B199:D199"/>
    <mergeCell ref="B200:D200"/>
    <mergeCell ref="B201:D201"/>
    <mergeCell ref="B202:D202"/>
    <mergeCell ref="B215:D215"/>
    <mergeCell ref="B216:D216"/>
    <mergeCell ref="B217:D217"/>
    <mergeCell ref="B218:D218"/>
    <mergeCell ref="B219:D219"/>
    <mergeCell ref="B220:D220"/>
    <mergeCell ref="B209:D209"/>
    <mergeCell ref="B210:D210"/>
    <mergeCell ref="B211:D211"/>
    <mergeCell ref="B212:D212"/>
    <mergeCell ref="B213:D213"/>
    <mergeCell ref="B214:D214"/>
    <mergeCell ref="B227:D227"/>
    <mergeCell ref="B228:D228"/>
    <mergeCell ref="B229:D229"/>
    <mergeCell ref="B230:D230"/>
    <mergeCell ref="B231:D231"/>
    <mergeCell ref="B232:D232"/>
    <mergeCell ref="B221:D221"/>
    <mergeCell ref="B222:D222"/>
    <mergeCell ref="B223:D223"/>
    <mergeCell ref="B224:D224"/>
    <mergeCell ref="B225:D225"/>
    <mergeCell ref="B226:D226"/>
    <mergeCell ref="F238:G238"/>
    <mergeCell ref="I238:J238"/>
    <mergeCell ref="B239:D239"/>
    <mergeCell ref="B240:D240"/>
    <mergeCell ref="B241:D241"/>
    <mergeCell ref="B242:D242"/>
    <mergeCell ref="B233:D233"/>
    <mergeCell ref="B234:D234"/>
    <mergeCell ref="B235:D235"/>
    <mergeCell ref="B236:D236"/>
    <mergeCell ref="B237:D237"/>
    <mergeCell ref="A238:D238"/>
    <mergeCell ref="I254:J254"/>
    <mergeCell ref="A247:D247"/>
    <mergeCell ref="F247:G247"/>
    <mergeCell ref="I247:J247"/>
    <mergeCell ref="B248:D248"/>
    <mergeCell ref="B249:D249"/>
    <mergeCell ref="B250:D250"/>
    <mergeCell ref="A243:D243"/>
    <mergeCell ref="F243:G243"/>
    <mergeCell ref="I243:J243"/>
    <mergeCell ref="B244:D244"/>
    <mergeCell ref="B245:D245"/>
    <mergeCell ref="B246:D246"/>
    <mergeCell ref="B255:D255"/>
    <mergeCell ref="B256:D256"/>
    <mergeCell ref="B257:D257"/>
    <mergeCell ref="B258:D258"/>
    <mergeCell ref="A259:D259"/>
    <mergeCell ref="F259:G259"/>
    <mergeCell ref="B251:D251"/>
    <mergeCell ref="B252:D252"/>
    <mergeCell ref="B253:D253"/>
    <mergeCell ref="A254:D254"/>
    <mergeCell ref="F254:G254"/>
    <mergeCell ref="A265:D265"/>
    <mergeCell ref="F265:G265"/>
    <mergeCell ref="I265:J265"/>
    <mergeCell ref="B266:D266"/>
    <mergeCell ref="B268:D268"/>
    <mergeCell ref="B269:D269"/>
    <mergeCell ref="I259:J259"/>
    <mergeCell ref="B260:D260"/>
    <mergeCell ref="B261:D261"/>
    <mergeCell ref="B262:D262"/>
    <mergeCell ref="B263:D263"/>
    <mergeCell ref="B264:D264"/>
    <mergeCell ref="B276:D276"/>
    <mergeCell ref="B277:D277"/>
    <mergeCell ref="B278:D278"/>
    <mergeCell ref="F278:G278"/>
    <mergeCell ref="B280:E280"/>
    <mergeCell ref="B281:D281"/>
    <mergeCell ref="B270:D270"/>
    <mergeCell ref="B271:D271"/>
    <mergeCell ref="B272:D272"/>
    <mergeCell ref="B273:D273"/>
    <mergeCell ref="B274:D274"/>
    <mergeCell ref="B275:D275"/>
    <mergeCell ref="B288:D288"/>
    <mergeCell ref="B289:D289"/>
    <mergeCell ref="B290:D290"/>
    <mergeCell ref="B291:D291"/>
    <mergeCell ref="B292:D292"/>
    <mergeCell ref="B293:D293"/>
    <mergeCell ref="B282:D282"/>
    <mergeCell ref="B283:D283"/>
    <mergeCell ref="B284:D284"/>
    <mergeCell ref="B285:D285"/>
    <mergeCell ref="B286:D286"/>
    <mergeCell ref="B287:D287"/>
    <mergeCell ref="B300:D300"/>
    <mergeCell ref="B301:D301"/>
    <mergeCell ref="B302:D302"/>
    <mergeCell ref="B303:D303"/>
    <mergeCell ref="B304:D304"/>
    <mergeCell ref="B305:D305"/>
    <mergeCell ref="B294:D294"/>
    <mergeCell ref="B295:D295"/>
    <mergeCell ref="B296:D296"/>
    <mergeCell ref="B297:D297"/>
    <mergeCell ref="B298:D298"/>
    <mergeCell ref="B299:D299"/>
    <mergeCell ref="B312:D312"/>
    <mergeCell ref="E312:G312"/>
    <mergeCell ref="B313:D313"/>
    <mergeCell ref="B314:D314"/>
    <mergeCell ref="B315:D315"/>
    <mergeCell ref="B316:D316"/>
    <mergeCell ref="B306:D306"/>
    <mergeCell ref="B307:D307"/>
    <mergeCell ref="B308:D308"/>
    <mergeCell ref="B309:D309"/>
    <mergeCell ref="B310:D310"/>
    <mergeCell ref="B311:D311"/>
    <mergeCell ref="B323:D323"/>
    <mergeCell ref="B324:D324"/>
    <mergeCell ref="B325:D325"/>
    <mergeCell ref="B326:D326"/>
    <mergeCell ref="B327:D327"/>
    <mergeCell ref="B328:D328"/>
    <mergeCell ref="B317:D317"/>
    <mergeCell ref="B318:D318"/>
    <mergeCell ref="B319:D319"/>
    <mergeCell ref="B320:D320"/>
    <mergeCell ref="B321:D321"/>
    <mergeCell ref="B322:D322"/>
    <mergeCell ref="B335:D335"/>
    <mergeCell ref="B336:D336"/>
    <mergeCell ref="B337:D337"/>
    <mergeCell ref="B338:D338"/>
    <mergeCell ref="B339:D339"/>
    <mergeCell ref="B340:D340"/>
    <mergeCell ref="B329:D329"/>
    <mergeCell ref="B330:D330"/>
    <mergeCell ref="B331:D331"/>
    <mergeCell ref="B332:D332"/>
    <mergeCell ref="B333:D333"/>
    <mergeCell ref="B334:D334"/>
    <mergeCell ref="D349:G349"/>
    <mergeCell ref="M349:O349"/>
    <mergeCell ref="B341:D341"/>
    <mergeCell ref="B342:D342"/>
    <mergeCell ref="B343:D343"/>
    <mergeCell ref="D347:G347"/>
    <mergeCell ref="M347:O347"/>
    <mergeCell ref="D348:G348"/>
    <mergeCell ref="M348:O348"/>
    <mergeCell ref="B1:D4"/>
    <mergeCell ref="H1:N2"/>
    <mergeCell ref="O11:O14"/>
    <mergeCell ref="E12:F12"/>
    <mergeCell ref="I12:J12"/>
    <mergeCell ref="E13:F13"/>
    <mergeCell ref="I13:J13"/>
    <mergeCell ref="L13:M13"/>
    <mergeCell ref="E14:G14"/>
    <mergeCell ref="H14:N14"/>
    <mergeCell ref="E8:F8"/>
    <mergeCell ref="E9:F9"/>
    <mergeCell ref="E10:F10"/>
    <mergeCell ref="E11:F11"/>
    <mergeCell ref="I11:J11"/>
    <mergeCell ref="L11:N11"/>
    <mergeCell ref="E1:F1"/>
    <mergeCell ref="E2:F2"/>
    <mergeCell ref="E3:F3"/>
    <mergeCell ref="H3:N10"/>
    <mergeCell ref="E4:F4"/>
    <mergeCell ref="E5:F5"/>
    <mergeCell ref="E6:F6"/>
    <mergeCell ref="E7:F7"/>
  </mergeCells>
  <printOptions horizontalCentered="1"/>
  <pageMargins left="0.70866141732283472" right="0.70866141732283472" top="0.74803149606299213" bottom="0.74803149606299213" header="0.31496062992125984" footer="0.31496062992125984"/>
  <pageSetup scale="48" fitToHeight="0" orientation="landscape" r:id="rId1"/>
  <headerFooter>
    <oddFooter xml:space="preserve">&amp;RPágina  &amp;P DE &amp;N              </oddFooter>
  </headerFooter>
  <drawing r:id="rId2"/>
  <legacy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187"/>
  <sheetViews>
    <sheetView view="pageBreakPreview" topLeftCell="A4" zoomScale="115" zoomScaleNormal="100" zoomScaleSheetLayoutView="115" workbookViewId="0">
      <selection activeCell="P17" sqref="P17"/>
    </sheetView>
  </sheetViews>
  <sheetFormatPr baseColWidth="10" defaultRowHeight="15"/>
  <cols>
    <col min="1" max="1" width="3.7109375" style="832" customWidth="1"/>
    <col min="2" max="2" width="6.85546875" style="832" customWidth="1"/>
    <col min="3" max="3" width="38.28515625" style="832" customWidth="1"/>
    <col min="4" max="4" width="7.140625" style="832" customWidth="1"/>
    <col min="5" max="5" width="9.42578125" style="832" customWidth="1"/>
    <col min="6" max="6" width="6" style="832" customWidth="1"/>
    <col min="7" max="7" width="3" style="832" customWidth="1"/>
    <col min="8" max="8" width="4.140625" style="832" bestFit="1" customWidth="1"/>
    <col min="9" max="9" width="17.28515625" style="832" customWidth="1"/>
    <col min="10" max="10" width="21.7109375" style="832" customWidth="1"/>
    <col min="11" max="11" width="11.42578125" style="832"/>
    <col min="12" max="12" width="15.140625" style="832" bestFit="1" customWidth="1"/>
    <col min="13" max="242" width="11.42578125" style="832"/>
    <col min="243" max="243" width="38.42578125" style="832" customWidth="1"/>
    <col min="244" max="244" width="3.7109375" style="832" customWidth="1"/>
    <col min="245" max="245" width="13.7109375" style="832" bestFit="1" customWidth="1"/>
    <col min="246" max="246" width="11.5703125" style="832" customWidth="1"/>
    <col min="247" max="247" width="3" style="832" customWidth="1"/>
    <col min="248" max="248" width="4.140625" style="832" bestFit="1" customWidth="1"/>
    <col min="249" max="249" width="1.85546875" style="832" customWidth="1"/>
    <col min="250" max="250" width="16.28515625" style="832" customWidth="1"/>
    <col min="251" max="251" width="15.5703125" style="832" customWidth="1"/>
    <col min="252" max="252" width="18.42578125" style="832" bestFit="1" customWidth="1"/>
    <col min="253" max="498" width="11.42578125" style="832"/>
    <col min="499" max="499" width="38.42578125" style="832" customWidth="1"/>
    <col min="500" max="500" width="3.7109375" style="832" customWidth="1"/>
    <col min="501" max="501" width="13.7109375" style="832" bestFit="1" customWidth="1"/>
    <col min="502" max="502" width="11.5703125" style="832" customWidth="1"/>
    <col min="503" max="503" width="3" style="832" customWidth="1"/>
    <col min="504" max="504" width="4.140625" style="832" bestFit="1" customWidth="1"/>
    <col min="505" max="505" width="1.85546875" style="832" customWidth="1"/>
    <col min="506" max="506" width="16.28515625" style="832" customWidth="1"/>
    <col min="507" max="507" width="15.5703125" style="832" customWidth="1"/>
    <col min="508" max="508" width="18.42578125" style="832" bestFit="1" customWidth="1"/>
    <col min="509" max="754" width="11.42578125" style="832"/>
    <col min="755" max="755" width="38.42578125" style="832" customWidth="1"/>
    <col min="756" max="756" width="3.7109375" style="832" customWidth="1"/>
    <col min="757" max="757" width="13.7109375" style="832" bestFit="1" customWidth="1"/>
    <col min="758" max="758" width="11.5703125" style="832" customWidth="1"/>
    <col min="759" max="759" width="3" style="832" customWidth="1"/>
    <col min="760" max="760" width="4.140625" style="832" bestFit="1" customWidth="1"/>
    <col min="761" max="761" width="1.85546875" style="832" customWidth="1"/>
    <col min="762" max="762" width="16.28515625" style="832" customWidth="1"/>
    <col min="763" max="763" width="15.5703125" style="832" customWidth="1"/>
    <col min="764" max="764" width="18.42578125" style="832" bestFit="1" customWidth="1"/>
    <col min="765" max="1010" width="11.42578125" style="832"/>
    <col min="1011" max="1011" width="38.42578125" style="832" customWidth="1"/>
    <col min="1012" max="1012" width="3.7109375" style="832" customWidth="1"/>
    <col min="1013" max="1013" width="13.7109375" style="832" bestFit="1" customWidth="1"/>
    <col min="1014" max="1014" width="11.5703125" style="832" customWidth="1"/>
    <col min="1015" max="1015" width="3" style="832" customWidth="1"/>
    <col min="1016" max="1016" width="4.140625" style="832" bestFit="1" customWidth="1"/>
    <col min="1017" max="1017" width="1.85546875" style="832" customWidth="1"/>
    <col min="1018" max="1018" width="16.28515625" style="832" customWidth="1"/>
    <col min="1019" max="1019" width="15.5703125" style="832" customWidth="1"/>
    <col min="1020" max="1020" width="18.42578125" style="832" bestFit="1" customWidth="1"/>
    <col min="1021" max="1266" width="11.42578125" style="832"/>
    <col min="1267" max="1267" width="38.42578125" style="832" customWidth="1"/>
    <col min="1268" max="1268" width="3.7109375" style="832" customWidth="1"/>
    <col min="1269" max="1269" width="13.7109375" style="832" bestFit="1" customWidth="1"/>
    <col min="1270" max="1270" width="11.5703125" style="832" customWidth="1"/>
    <col min="1271" max="1271" width="3" style="832" customWidth="1"/>
    <col min="1272" max="1272" width="4.140625" style="832" bestFit="1" customWidth="1"/>
    <col min="1273" max="1273" width="1.85546875" style="832" customWidth="1"/>
    <col min="1274" max="1274" width="16.28515625" style="832" customWidth="1"/>
    <col min="1275" max="1275" width="15.5703125" style="832" customWidth="1"/>
    <col min="1276" max="1276" width="18.42578125" style="832" bestFit="1" customWidth="1"/>
    <col min="1277" max="1522" width="11.42578125" style="832"/>
    <col min="1523" max="1523" width="38.42578125" style="832" customWidth="1"/>
    <col min="1524" max="1524" width="3.7109375" style="832" customWidth="1"/>
    <col min="1525" max="1525" width="13.7109375" style="832" bestFit="1" customWidth="1"/>
    <col min="1526" max="1526" width="11.5703125" style="832" customWidth="1"/>
    <col min="1527" max="1527" width="3" style="832" customWidth="1"/>
    <col min="1528" max="1528" width="4.140625" style="832" bestFit="1" customWidth="1"/>
    <col min="1529" max="1529" width="1.85546875" style="832" customWidth="1"/>
    <col min="1530" max="1530" width="16.28515625" style="832" customWidth="1"/>
    <col min="1531" max="1531" width="15.5703125" style="832" customWidth="1"/>
    <col min="1532" max="1532" width="18.42578125" style="832" bestFit="1" customWidth="1"/>
    <col min="1533" max="1778" width="11.42578125" style="832"/>
    <col min="1779" max="1779" width="38.42578125" style="832" customWidth="1"/>
    <col min="1780" max="1780" width="3.7109375" style="832" customWidth="1"/>
    <col min="1781" max="1781" width="13.7109375" style="832" bestFit="1" customWidth="1"/>
    <col min="1782" max="1782" width="11.5703125" style="832" customWidth="1"/>
    <col min="1783" max="1783" width="3" style="832" customWidth="1"/>
    <col min="1784" max="1784" width="4.140625" style="832" bestFit="1" customWidth="1"/>
    <col min="1785" max="1785" width="1.85546875" style="832" customWidth="1"/>
    <col min="1786" max="1786" width="16.28515625" style="832" customWidth="1"/>
    <col min="1787" max="1787" width="15.5703125" style="832" customWidth="1"/>
    <col min="1788" max="1788" width="18.42578125" style="832" bestFit="1" customWidth="1"/>
    <col min="1789" max="2034" width="11.42578125" style="832"/>
    <col min="2035" max="2035" width="38.42578125" style="832" customWidth="1"/>
    <col min="2036" max="2036" width="3.7109375" style="832" customWidth="1"/>
    <col min="2037" max="2037" width="13.7109375" style="832" bestFit="1" customWidth="1"/>
    <col min="2038" max="2038" width="11.5703125" style="832" customWidth="1"/>
    <col min="2039" max="2039" width="3" style="832" customWidth="1"/>
    <col min="2040" max="2040" width="4.140625" style="832" bestFit="1" customWidth="1"/>
    <col min="2041" max="2041" width="1.85546875" style="832" customWidth="1"/>
    <col min="2042" max="2042" width="16.28515625" style="832" customWidth="1"/>
    <col min="2043" max="2043" width="15.5703125" style="832" customWidth="1"/>
    <col min="2044" max="2044" width="18.42578125" style="832" bestFit="1" customWidth="1"/>
    <col min="2045" max="2290" width="11.42578125" style="832"/>
    <col min="2291" max="2291" width="38.42578125" style="832" customWidth="1"/>
    <col min="2292" max="2292" width="3.7109375" style="832" customWidth="1"/>
    <col min="2293" max="2293" width="13.7109375" style="832" bestFit="1" customWidth="1"/>
    <col min="2294" max="2294" width="11.5703125" style="832" customWidth="1"/>
    <col min="2295" max="2295" width="3" style="832" customWidth="1"/>
    <col min="2296" max="2296" width="4.140625" style="832" bestFit="1" customWidth="1"/>
    <col min="2297" max="2297" width="1.85546875" style="832" customWidth="1"/>
    <col min="2298" max="2298" width="16.28515625" style="832" customWidth="1"/>
    <col min="2299" max="2299" width="15.5703125" style="832" customWidth="1"/>
    <col min="2300" max="2300" width="18.42578125" style="832" bestFit="1" customWidth="1"/>
    <col min="2301" max="2546" width="11.42578125" style="832"/>
    <col min="2547" max="2547" width="38.42578125" style="832" customWidth="1"/>
    <col min="2548" max="2548" width="3.7109375" style="832" customWidth="1"/>
    <col min="2549" max="2549" width="13.7109375" style="832" bestFit="1" customWidth="1"/>
    <col min="2550" max="2550" width="11.5703125" style="832" customWidth="1"/>
    <col min="2551" max="2551" width="3" style="832" customWidth="1"/>
    <col min="2552" max="2552" width="4.140625" style="832" bestFit="1" customWidth="1"/>
    <col min="2553" max="2553" width="1.85546875" style="832" customWidth="1"/>
    <col min="2554" max="2554" width="16.28515625" style="832" customWidth="1"/>
    <col min="2555" max="2555" width="15.5703125" style="832" customWidth="1"/>
    <col min="2556" max="2556" width="18.42578125" style="832" bestFit="1" customWidth="1"/>
    <col min="2557" max="2802" width="11.42578125" style="832"/>
    <col min="2803" max="2803" width="38.42578125" style="832" customWidth="1"/>
    <col min="2804" max="2804" width="3.7109375" style="832" customWidth="1"/>
    <col min="2805" max="2805" width="13.7109375" style="832" bestFit="1" customWidth="1"/>
    <col min="2806" max="2806" width="11.5703125" style="832" customWidth="1"/>
    <col min="2807" max="2807" width="3" style="832" customWidth="1"/>
    <col min="2808" max="2808" width="4.140625" style="832" bestFit="1" customWidth="1"/>
    <col min="2809" max="2809" width="1.85546875" style="832" customWidth="1"/>
    <col min="2810" max="2810" width="16.28515625" style="832" customWidth="1"/>
    <col min="2811" max="2811" width="15.5703125" style="832" customWidth="1"/>
    <col min="2812" max="2812" width="18.42578125" style="832" bestFit="1" customWidth="1"/>
    <col min="2813" max="3058" width="11.42578125" style="832"/>
    <col min="3059" max="3059" width="38.42578125" style="832" customWidth="1"/>
    <col min="3060" max="3060" width="3.7109375" style="832" customWidth="1"/>
    <col min="3061" max="3061" width="13.7109375" style="832" bestFit="1" customWidth="1"/>
    <col min="3062" max="3062" width="11.5703125" style="832" customWidth="1"/>
    <col min="3063" max="3063" width="3" style="832" customWidth="1"/>
    <col min="3064" max="3064" width="4.140625" style="832" bestFit="1" customWidth="1"/>
    <col min="3065" max="3065" width="1.85546875" style="832" customWidth="1"/>
    <col min="3066" max="3066" width="16.28515625" style="832" customWidth="1"/>
    <col min="3067" max="3067" width="15.5703125" style="832" customWidth="1"/>
    <col min="3068" max="3068" width="18.42578125" style="832" bestFit="1" customWidth="1"/>
    <col min="3069" max="3314" width="11.42578125" style="832"/>
    <col min="3315" max="3315" width="38.42578125" style="832" customWidth="1"/>
    <col min="3316" max="3316" width="3.7109375" style="832" customWidth="1"/>
    <col min="3317" max="3317" width="13.7109375" style="832" bestFit="1" customWidth="1"/>
    <col min="3318" max="3318" width="11.5703125" style="832" customWidth="1"/>
    <col min="3319" max="3319" width="3" style="832" customWidth="1"/>
    <col min="3320" max="3320" width="4.140625" style="832" bestFit="1" customWidth="1"/>
    <col min="3321" max="3321" width="1.85546875" style="832" customWidth="1"/>
    <col min="3322" max="3322" width="16.28515625" style="832" customWidth="1"/>
    <col min="3323" max="3323" width="15.5703125" style="832" customWidth="1"/>
    <col min="3324" max="3324" width="18.42578125" style="832" bestFit="1" customWidth="1"/>
    <col min="3325" max="3570" width="11.42578125" style="832"/>
    <col min="3571" max="3571" width="38.42578125" style="832" customWidth="1"/>
    <col min="3572" max="3572" width="3.7109375" style="832" customWidth="1"/>
    <col min="3573" max="3573" width="13.7109375" style="832" bestFit="1" customWidth="1"/>
    <col min="3574" max="3574" width="11.5703125" style="832" customWidth="1"/>
    <col min="3575" max="3575" width="3" style="832" customWidth="1"/>
    <col min="3576" max="3576" width="4.140625" style="832" bestFit="1" customWidth="1"/>
    <col min="3577" max="3577" width="1.85546875" style="832" customWidth="1"/>
    <col min="3578" max="3578" width="16.28515625" style="832" customWidth="1"/>
    <col min="3579" max="3579" width="15.5703125" style="832" customWidth="1"/>
    <col min="3580" max="3580" width="18.42578125" style="832" bestFit="1" customWidth="1"/>
    <col min="3581" max="3826" width="11.42578125" style="832"/>
    <col min="3827" max="3827" width="38.42578125" style="832" customWidth="1"/>
    <col min="3828" max="3828" width="3.7109375" style="832" customWidth="1"/>
    <col min="3829" max="3829" width="13.7109375" style="832" bestFit="1" customWidth="1"/>
    <col min="3830" max="3830" width="11.5703125" style="832" customWidth="1"/>
    <col min="3831" max="3831" width="3" style="832" customWidth="1"/>
    <col min="3832" max="3832" width="4.140625" style="832" bestFit="1" customWidth="1"/>
    <col min="3833" max="3833" width="1.85546875" style="832" customWidth="1"/>
    <col min="3834" max="3834" width="16.28515625" style="832" customWidth="1"/>
    <col min="3835" max="3835" width="15.5703125" style="832" customWidth="1"/>
    <col min="3836" max="3836" width="18.42578125" style="832" bestFit="1" customWidth="1"/>
    <col min="3837" max="4082" width="11.42578125" style="832"/>
    <col min="4083" max="4083" width="38.42578125" style="832" customWidth="1"/>
    <col min="4084" max="4084" width="3.7109375" style="832" customWidth="1"/>
    <col min="4085" max="4085" width="13.7109375" style="832" bestFit="1" customWidth="1"/>
    <col min="4086" max="4086" width="11.5703125" style="832" customWidth="1"/>
    <col min="4087" max="4087" width="3" style="832" customWidth="1"/>
    <col min="4088" max="4088" width="4.140625" style="832" bestFit="1" customWidth="1"/>
    <col min="4089" max="4089" width="1.85546875" style="832" customWidth="1"/>
    <col min="4090" max="4090" width="16.28515625" style="832" customWidth="1"/>
    <col min="4091" max="4091" width="15.5703125" style="832" customWidth="1"/>
    <col min="4092" max="4092" width="18.42578125" style="832" bestFit="1" customWidth="1"/>
    <col min="4093" max="4338" width="11.42578125" style="832"/>
    <col min="4339" max="4339" width="38.42578125" style="832" customWidth="1"/>
    <col min="4340" max="4340" width="3.7109375" style="832" customWidth="1"/>
    <col min="4341" max="4341" width="13.7109375" style="832" bestFit="1" customWidth="1"/>
    <col min="4342" max="4342" width="11.5703125" style="832" customWidth="1"/>
    <col min="4343" max="4343" width="3" style="832" customWidth="1"/>
    <col min="4344" max="4344" width="4.140625" style="832" bestFit="1" customWidth="1"/>
    <col min="4345" max="4345" width="1.85546875" style="832" customWidth="1"/>
    <col min="4346" max="4346" width="16.28515625" style="832" customWidth="1"/>
    <col min="4347" max="4347" width="15.5703125" style="832" customWidth="1"/>
    <col min="4348" max="4348" width="18.42578125" style="832" bestFit="1" customWidth="1"/>
    <col min="4349" max="4594" width="11.42578125" style="832"/>
    <col min="4595" max="4595" width="38.42578125" style="832" customWidth="1"/>
    <col min="4596" max="4596" width="3.7109375" style="832" customWidth="1"/>
    <col min="4597" max="4597" width="13.7109375" style="832" bestFit="1" customWidth="1"/>
    <col min="4598" max="4598" width="11.5703125" style="832" customWidth="1"/>
    <col min="4599" max="4599" width="3" style="832" customWidth="1"/>
    <col min="4600" max="4600" width="4.140625" style="832" bestFit="1" customWidth="1"/>
    <col min="4601" max="4601" width="1.85546875" style="832" customWidth="1"/>
    <col min="4602" max="4602" width="16.28515625" style="832" customWidth="1"/>
    <col min="4603" max="4603" width="15.5703125" style="832" customWidth="1"/>
    <col min="4604" max="4604" width="18.42578125" style="832" bestFit="1" customWidth="1"/>
    <col min="4605" max="4850" width="11.42578125" style="832"/>
    <col min="4851" max="4851" width="38.42578125" style="832" customWidth="1"/>
    <col min="4852" max="4852" width="3.7109375" style="832" customWidth="1"/>
    <col min="4853" max="4853" width="13.7109375" style="832" bestFit="1" customWidth="1"/>
    <col min="4854" max="4854" width="11.5703125" style="832" customWidth="1"/>
    <col min="4855" max="4855" width="3" style="832" customWidth="1"/>
    <col min="4856" max="4856" width="4.140625" style="832" bestFit="1" customWidth="1"/>
    <col min="4857" max="4857" width="1.85546875" style="832" customWidth="1"/>
    <col min="4858" max="4858" width="16.28515625" style="832" customWidth="1"/>
    <col min="4859" max="4859" width="15.5703125" style="832" customWidth="1"/>
    <col min="4860" max="4860" width="18.42578125" style="832" bestFit="1" customWidth="1"/>
    <col min="4861" max="5106" width="11.42578125" style="832"/>
    <col min="5107" max="5107" width="38.42578125" style="832" customWidth="1"/>
    <col min="5108" max="5108" width="3.7109375" style="832" customWidth="1"/>
    <col min="5109" max="5109" width="13.7109375" style="832" bestFit="1" customWidth="1"/>
    <col min="5110" max="5110" width="11.5703125" style="832" customWidth="1"/>
    <col min="5111" max="5111" width="3" style="832" customWidth="1"/>
    <col min="5112" max="5112" width="4.140625" style="832" bestFit="1" customWidth="1"/>
    <col min="5113" max="5113" width="1.85546875" style="832" customWidth="1"/>
    <col min="5114" max="5114" width="16.28515625" style="832" customWidth="1"/>
    <col min="5115" max="5115" width="15.5703125" style="832" customWidth="1"/>
    <col min="5116" max="5116" width="18.42578125" style="832" bestFit="1" customWidth="1"/>
    <col min="5117" max="5362" width="11.42578125" style="832"/>
    <col min="5363" max="5363" width="38.42578125" style="832" customWidth="1"/>
    <col min="5364" max="5364" width="3.7109375" style="832" customWidth="1"/>
    <col min="5365" max="5365" width="13.7109375" style="832" bestFit="1" customWidth="1"/>
    <col min="5366" max="5366" width="11.5703125" style="832" customWidth="1"/>
    <col min="5367" max="5367" width="3" style="832" customWidth="1"/>
    <col min="5368" max="5368" width="4.140625" style="832" bestFit="1" customWidth="1"/>
    <col min="5369" max="5369" width="1.85546875" style="832" customWidth="1"/>
    <col min="5370" max="5370" width="16.28515625" style="832" customWidth="1"/>
    <col min="5371" max="5371" width="15.5703125" style="832" customWidth="1"/>
    <col min="5372" max="5372" width="18.42578125" style="832" bestFit="1" customWidth="1"/>
    <col min="5373" max="5618" width="11.42578125" style="832"/>
    <col min="5619" max="5619" width="38.42578125" style="832" customWidth="1"/>
    <col min="5620" max="5620" width="3.7109375" style="832" customWidth="1"/>
    <col min="5621" max="5621" width="13.7109375" style="832" bestFit="1" customWidth="1"/>
    <col min="5622" max="5622" width="11.5703125" style="832" customWidth="1"/>
    <col min="5623" max="5623" width="3" style="832" customWidth="1"/>
    <col min="5624" max="5624" width="4.140625" style="832" bestFit="1" customWidth="1"/>
    <col min="5625" max="5625" width="1.85546875" style="832" customWidth="1"/>
    <col min="5626" max="5626" width="16.28515625" style="832" customWidth="1"/>
    <col min="5627" max="5627" width="15.5703125" style="832" customWidth="1"/>
    <col min="5628" max="5628" width="18.42578125" style="832" bestFit="1" customWidth="1"/>
    <col min="5629" max="5874" width="11.42578125" style="832"/>
    <col min="5875" max="5875" width="38.42578125" style="832" customWidth="1"/>
    <col min="5876" max="5876" width="3.7109375" style="832" customWidth="1"/>
    <col min="5877" max="5877" width="13.7109375" style="832" bestFit="1" customWidth="1"/>
    <col min="5878" max="5878" width="11.5703125" style="832" customWidth="1"/>
    <col min="5879" max="5879" width="3" style="832" customWidth="1"/>
    <col min="5880" max="5880" width="4.140625" style="832" bestFit="1" customWidth="1"/>
    <col min="5881" max="5881" width="1.85546875" style="832" customWidth="1"/>
    <col min="5882" max="5882" width="16.28515625" style="832" customWidth="1"/>
    <col min="5883" max="5883" width="15.5703125" style="832" customWidth="1"/>
    <col min="5884" max="5884" width="18.42578125" style="832" bestFit="1" customWidth="1"/>
    <col min="5885" max="6130" width="11.42578125" style="832"/>
    <col min="6131" max="6131" width="38.42578125" style="832" customWidth="1"/>
    <col min="6132" max="6132" width="3.7109375" style="832" customWidth="1"/>
    <col min="6133" max="6133" width="13.7109375" style="832" bestFit="1" customWidth="1"/>
    <col min="6134" max="6134" width="11.5703125" style="832" customWidth="1"/>
    <col min="6135" max="6135" width="3" style="832" customWidth="1"/>
    <col min="6136" max="6136" width="4.140625" style="832" bestFit="1" customWidth="1"/>
    <col min="6137" max="6137" width="1.85546875" style="832" customWidth="1"/>
    <col min="6138" max="6138" width="16.28515625" style="832" customWidth="1"/>
    <col min="6139" max="6139" width="15.5703125" style="832" customWidth="1"/>
    <col min="6140" max="6140" width="18.42578125" style="832" bestFit="1" customWidth="1"/>
    <col min="6141" max="6386" width="11.42578125" style="832"/>
    <col min="6387" max="6387" width="38.42578125" style="832" customWidth="1"/>
    <col min="6388" max="6388" width="3.7109375" style="832" customWidth="1"/>
    <col min="6389" max="6389" width="13.7109375" style="832" bestFit="1" customWidth="1"/>
    <col min="6390" max="6390" width="11.5703125" style="832" customWidth="1"/>
    <col min="6391" max="6391" width="3" style="832" customWidth="1"/>
    <col min="6392" max="6392" width="4.140625" style="832" bestFit="1" customWidth="1"/>
    <col min="6393" max="6393" width="1.85546875" style="832" customWidth="1"/>
    <col min="6394" max="6394" width="16.28515625" style="832" customWidth="1"/>
    <col min="6395" max="6395" width="15.5703125" style="832" customWidth="1"/>
    <col min="6396" max="6396" width="18.42578125" style="832" bestFit="1" customWidth="1"/>
    <col min="6397" max="6642" width="11.42578125" style="832"/>
    <col min="6643" max="6643" width="38.42578125" style="832" customWidth="1"/>
    <col min="6644" max="6644" width="3.7109375" style="832" customWidth="1"/>
    <col min="6645" max="6645" width="13.7109375" style="832" bestFit="1" customWidth="1"/>
    <col min="6646" max="6646" width="11.5703125" style="832" customWidth="1"/>
    <col min="6647" max="6647" width="3" style="832" customWidth="1"/>
    <col min="6648" max="6648" width="4.140625" style="832" bestFit="1" customWidth="1"/>
    <col min="6649" max="6649" width="1.85546875" style="832" customWidth="1"/>
    <col min="6650" max="6650" width="16.28515625" style="832" customWidth="1"/>
    <col min="6651" max="6651" width="15.5703125" style="832" customWidth="1"/>
    <col min="6652" max="6652" width="18.42578125" style="832" bestFit="1" customWidth="1"/>
    <col min="6653" max="6898" width="11.42578125" style="832"/>
    <col min="6899" max="6899" width="38.42578125" style="832" customWidth="1"/>
    <col min="6900" max="6900" width="3.7109375" style="832" customWidth="1"/>
    <col min="6901" max="6901" width="13.7109375" style="832" bestFit="1" customWidth="1"/>
    <col min="6902" max="6902" width="11.5703125" style="832" customWidth="1"/>
    <col min="6903" max="6903" width="3" style="832" customWidth="1"/>
    <col min="6904" max="6904" width="4.140625" style="832" bestFit="1" customWidth="1"/>
    <col min="6905" max="6905" width="1.85546875" style="832" customWidth="1"/>
    <col min="6906" max="6906" width="16.28515625" style="832" customWidth="1"/>
    <col min="6907" max="6907" width="15.5703125" style="832" customWidth="1"/>
    <col min="6908" max="6908" width="18.42578125" style="832" bestFit="1" customWidth="1"/>
    <col min="6909" max="7154" width="11.42578125" style="832"/>
    <col min="7155" max="7155" width="38.42578125" style="832" customWidth="1"/>
    <col min="7156" max="7156" width="3.7109375" style="832" customWidth="1"/>
    <col min="7157" max="7157" width="13.7109375" style="832" bestFit="1" customWidth="1"/>
    <col min="7158" max="7158" width="11.5703125" style="832" customWidth="1"/>
    <col min="7159" max="7159" width="3" style="832" customWidth="1"/>
    <col min="7160" max="7160" width="4.140625" style="832" bestFit="1" customWidth="1"/>
    <col min="7161" max="7161" width="1.85546875" style="832" customWidth="1"/>
    <col min="7162" max="7162" width="16.28515625" style="832" customWidth="1"/>
    <col min="7163" max="7163" width="15.5703125" style="832" customWidth="1"/>
    <col min="7164" max="7164" width="18.42578125" style="832" bestFit="1" customWidth="1"/>
    <col min="7165" max="7410" width="11.42578125" style="832"/>
    <col min="7411" max="7411" width="38.42578125" style="832" customWidth="1"/>
    <col min="7412" max="7412" width="3.7109375" style="832" customWidth="1"/>
    <col min="7413" max="7413" width="13.7109375" style="832" bestFit="1" customWidth="1"/>
    <col min="7414" max="7414" width="11.5703125" style="832" customWidth="1"/>
    <col min="7415" max="7415" width="3" style="832" customWidth="1"/>
    <col min="7416" max="7416" width="4.140625" style="832" bestFit="1" customWidth="1"/>
    <col min="7417" max="7417" width="1.85546875" style="832" customWidth="1"/>
    <col min="7418" max="7418" width="16.28515625" style="832" customWidth="1"/>
    <col min="7419" max="7419" width="15.5703125" style="832" customWidth="1"/>
    <col min="7420" max="7420" width="18.42578125" style="832" bestFit="1" customWidth="1"/>
    <col min="7421" max="7666" width="11.42578125" style="832"/>
    <col min="7667" max="7667" width="38.42578125" style="832" customWidth="1"/>
    <col min="7668" max="7668" width="3.7109375" style="832" customWidth="1"/>
    <col min="7669" max="7669" width="13.7109375" style="832" bestFit="1" customWidth="1"/>
    <col min="7670" max="7670" width="11.5703125" style="832" customWidth="1"/>
    <col min="7671" max="7671" width="3" style="832" customWidth="1"/>
    <col min="7672" max="7672" width="4.140625" style="832" bestFit="1" customWidth="1"/>
    <col min="7673" max="7673" width="1.85546875" style="832" customWidth="1"/>
    <col min="7674" max="7674" width="16.28515625" style="832" customWidth="1"/>
    <col min="7675" max="7675" width="15.5703125" style="832" customWidth="1"/>
    <col min="7676" max="7676" width="18.42578125" style="832" bestFit="1" customWidth="1"/>
    <col min="7677" max="7922" width="11.42578125" style="832"/>
    <col min="7923" max="7923" width="38.42578125" style="832" customWidth="1"/>
    <col min="7924" max="7924" width="3.7109375" style="832" customWidth="1"/>
    <col min="7925" max="7925" width="13.7109375" style="832" bestFit="1" customWidth="1"/>
    <col min="7926" max="7926" width="11.5703125" style="832" customWidth="1"/>
    <col min="7927" max="7927" width="3" style="832" customWidth="1"/>
    <col min="7928" max="7928" width="4.140625" style="832" bestFit="1" customWidth="1"/>
    <col min="7929" max="7929" width="1.85546875" style="832" customWidth="1"/>
    <col min="7930" max="7930" width="16.28515625" style="832" customWidth="1"/>
    <col min="7931" max="7931" width="15.5703125" style="832" customWidth="1"/>
    <col min="7932" max="7932" width="18.42578125" style="832" bestFit="1" customWidth="1"/>
    <col min="7933" max="8178" width="11.42578125" style="832"/>
    <col min="8179" max="8179" width="38.42578125" style="832" customWidth="1"/>
    <col min="8180" max="8180" width="3.7109375" style="832" customWidth="1"/>
    <col min="8181" max="8181" width="13.7109375" style="832" bestFit="1" customWidth="1"/>
    <col min="8182" max="8182" width="11.5703125" style="832" customWidth="1"/>
    <col min="8183" max="8183" width="3" style="832" customWidth="1"/>
    <col min="8184" max="8184" width="4.140625" style="832" bestFit="1" customWidth="1"/>
    <col min="8185" max="8185" width="1.85546875" style="832" customWidth="1"/>
    <col min="8186" max="8186" width="16.28515625" style="832" customWidth="1"/>
    <col min="8187" max="8187" width="15.5703125" style="832" customWidth="1"/>
    <col min="8188" max="8188" width="18.42578125" style="832" bestFit="1" customWidth="1"/>
    <col min="8189" max="8434" width="11.42578125" style="832"/>
    <col min="8435" max="8435" width="38.42578125" style="832" customWidth="1"/>
    <col min="8436" max="8436" width="3.7109375" style="832" customWidth="1"/>
    <col min="8437" max="8437" width="13.7109375" style="832" bestFit="1" customWidth="1"/>
    <col min="8438" max="8438" width="11.5703125" style="832" customWidth="1"/>
    <col min="8439" max="8439" width="3" style="832" customWidth="1"/>
    <col min="8440" max="8440" width="4.140625" style="832" bestFit="1" customWidth="1"/>
    <col min="8441" max="8441" width="1.85546875" style="832" customWidth="1"/>
    <col min="8442" max="8442" width="16.28515625" style="832" customWidth="1"/>
    <col min="8443" max="8443" width="15.5703125" style="832" customWidth="1"/>
    <col min="8444" max="8444" width="18.42578125" style="832" bestFit="1" customWidth="1"/>
    <col min="8445" max="8690" width="11.42578125" style="832"/>
    <col min="8691" max="8691" width="38.42578125" style="832" customWidth="1"/>
    <col min="8692" max="8692" width="3.7109375" style="832" customWidth="1"/>
    <col min="8693" max="8693" width="13.7109375" style="832" bestFit="1" customWidth="1"/>
    <col min="8694" max="8694" width="11.5703125" style="832" customWidth="1"/>
    <col min="8695" max="8695" width="3" style="832" customWidth="1"/>
    <col min="8696" max="8696" width="4.140625" style="832" bestFit="1" customWidth="1"/>
    <col min="8697" max="8697" width="1.85546875" style="832" customWidth="1"/>
    <col min="8698" max="8698" width="16.28515625" style="832" customWidth="1"/>
    <col min="8699" max="8699" width="15.5703125" style="832" customWidth="1"/>
    <col min="8700" max="8700" width="18.42578125" style="832" bestFit="1" customWidth="1"/>
    <col min="8701" max="8946" width="11.42578125" style="832"/>
    <col min="8947" max="8947" width="38.42578125" style="832" customWidth="1"/>
    <col min="8948" max="8948" width="3.7109375" style="832" customWidth="1"/>
    <col min="8949" max="8949" width="13.7109375" style="832" bestFit="1" customWidth="1"/>
    <col min="8950" max="8950" width="11.5703125" style="832" customWidth="1"/>
    <col min="8951" max="8951" width="3" style="832" customWidth="1"/>
    <col min="8952" max="8952" width="4.140625" style="832" bestFit="1" customWidth="1"/>
    <col min="8953" max="8953" width="1.85546875" style="832" customWidth="1"/>
    <col min="8954" max="8954" width="16.28515625" style="832" customWidth="1"/>
    <col min="8955" max="8955" width="15.5703125" style="832" customWidth="1"/>
    <col min="8956" max="8956" width="18.42578125" style="832" bestFit="1" customWidth="1"/>
    <col min="8957" max="9202" width="11.42578125" style="832"/>
    <col min="9203" max="9203" width="38.42578125" style="832" customWidth="1"/>
    <col min="9204" max="9204" width="3.7109375" style="832" customWidth="1"/>
    <col min="9205" max="9205" width="13.7109375" style="832" bestFit="1" customWidth="1"/>
    <col min="9206" max="9206" width="11.5703125" style="832" customWidth="1"/>
    <col min="9207" max="9207" width="3" style="832" customWidth="1"/>
    <col min="9208" max="9208" width="4.140625" style="832" bestFit="1" customWidth="1"/>
    <col min="9209" max="9209" width="1.85546875" style="832" customWidth="1"/>
    <col min="9210" max="9210" width="16.28515625" style="832" customWidth="1"/>
    <col min="9211" max="9211" width="15.5703125" style="832" customWidth="1"/>
    <col min="9212" max="9212" width="18.42578125" style="832" bestFit="1" customWidth="1"/>
    <col min="9213" max="9458" width="11.42578125" style="832"/>
    <col min="9459" max="9459" width="38.42578125" style="832" customWidth="1"/>
    <col min="9460" max="9460" width="3.7109375" style="832" customWidth="1"/>
    <col min="9461" max="9461" width="13.7109375" style="832" bestFit="1" customWidth="1"/>
    <col min="9462" max="9462" width="11.5703125" style="832" customWidth="1"/>
    <col min="9463" max="9463" width="3" style="832" customWidth="1"/>
    <col min="9464" max="9464" width="4.140625" style="832" bestFit="1" customWidth="1"/>
    <col min="9465" max="9465" width="1.85546875" style="832" customWidth="1"/>
    <col min="9466" max="9466" width="16.28515625" style="832" customWidth="1"/>
    <col min="9467" max="9467" width="15.5703125" style="832" customWidth="1"/>
    <col min="9468" max="9468" width="18.42578125" style="832" bestFit="1" customWidth="1"/>
    <col min="9469" max="9714" width="11.42578125" style="832"/>
    <col min="9715" max="9715" width="38.42578125" style="832" customWidth="1"/>
    <col min="9716" max="9716" width="3.7109375" style="832" customWidth="1"/>
    <col min="9717" max="9717" width="13.7109375" style="832" bestFit="1" customWidth="1"/>
    <col min="9718" max="9718" width="11.5703125" style="832" customWidth="1"/>
    <col min="9719" max="9719" width="3" style="832" customWidth="1"/>
    <col min="9720" max="9720" width="4.140625" style="832" bestFit="1" customWidth="1"/>
    <col min="9721" max="9721" width="1.85546875" style="832" customWidth="1"/>
    <col min="9722" max="9722" width="16.28515625" style="832" customWidth="1"/>
    <col min="9723" max="9723" width="15.5703125" style="832" customWidth="1"/>
    <col min="9724" max="9724" width="18.42578125" style="832" bestFit="1" customWidth="1"/>
    <col min="9725" max="9970" width="11.42578125" style="832"/>
    <col min="9971" max="9971" width="38.42578125" style="832" customWidth="1"/>
    <col min="9972" max="9972" width="3.7109375" style="832" customWidth="1"/>
    <col min="9973" max="9973" width="13.7109375" style="832" bestFit="1" customWidth="1"/>
    <col min="9974" max="9974" width="11.5703125" style="832" customWidth="1"/>
    <col min="9975" max="9975" width="3" style="832" customWidth="1"/>
    <col min="9976" max="9976" width="4.140625" style="832" bestFit="1" customWidth="1"/>
    <col min="9977" max="9977" width="1.85546875" style="832" customWidth="1"/>
    <col min="9978" max="9978" width="16.28515625" style="832" customWidth="1"/>
    <col min="9979" max="9979" width="15.5703125" style="832" customWidth="1"/>
    <col min="9980" max="9980" width="18.42578125" style="832" bestFit="1" customWidth="1"/>
    <col min="9981" max="10226" width="11.42578125" style="832"/>
    <col min="10227" max="10227" width="38.42578125" style="832" customWidth="1"/>
    <col min="10228" max="10228" width="3.7109375" style="832" customWidth="1"/>
    <col min="10229" max="10229" width="13.7109375" style="832" bestFit="1" customWidth="1"/>
    <col min="10230" max="10230" width="11.5703125" style="832" customWidth="1"/>
    <col min="10231" max="10231" width="3" style="832" customWidth="1"/>
    <col min="10232" max="10232" width="4.140625" style="832" bestFit="1" customWidth="1"/>
    <col min="10233" max="10233" width="1.85546875" style="832" customWidth="1"/>
    <col min="10234" max="10234" width="16.28515625" style="832" customWidth="1"/>
    <col min="10235" max="10235" width="15.5703125" style="832" customWidth="1"/>
    <col min="10236" max="10236" width="18.42578125" style="832" bestFit="1" customWidth="1"/>
    <col min="10237" max="10482" width="11.42578125" style="832"/>
    <col min="10483" max="10483" width="38.42578125" style="832" customWidth="1"/>
    <col min="10484" max="10484" width="3.7109375" style="832" customWidth="1"/>
    <col min="10485" max="10485" width="13.7109375" style="832" bestFit="1" customWidth="1"/>
    <col min="10486" max="10486" width="11.5703125" style="832" customWidth="1"/>
    <col min="10487" max="10487" width="3" style="832" customWidth="1"/>
    <col min="10488" max="10488" width="4.140625" style="832" bestFit="1" customWidth="1"/>
    <col min="10489" max="10489" width="1.85546875" style="832" customWidth="1"/>
    <col min="10490" max="10490" width="16.28515625" style="832" customWidth="1"/>
    <col min="10491" max="10491" width="15.5703125" style="832" customWidth="1"/>
    <col min="10492" max="10492" width="18.42578125" style="832" bestFit="1" customWidth="1"/>
    <col min="10493" max="10738" width="11.42578125" style="832"/>
    <col min="10739" max="10739" width="38.42578125" style="832" customWidth="1"/>
    <col min="10740" max="10740" width="3.7109375" style="832" customWidth="1"/>
    <col min="10741" max="10741" width="13.7109375" style="832" bestFit="1" customWidth="1"/>
    <col min="10742" max="10742" width="11.5703125" style="832" customWidth="1"/>
    <col min="10743" max="10743" width="3" style="832" customWidth="1"/>
    <col min="10744" max="10744" width="4.140625" style="832" bestFit="1" customWidth="1"/>
    <col min="10745" max="10745" width="1.85546875" style="832" customWidth="1"/>
    <col min="10746" max="10746" width="16.28515625" style="832" customWidth="1"/>
    <col min="10747" max="10747" width="15.5703125" style="832" customWidth="1"/>
    <col min="10748" max="10748" width="18.42578125" style="832" bestFit="1" customWidth="1"/>
    <col min="10749" max="10994" width="11.42578125" style="832"/>
    <col min="10995" max="10995" width="38.42578125" style="832" customWidth="1"/>
    <col min="10996" max="10996" width="3.7109375" style="832" customWidth="1"/>
    <col min="10997" max="10997" width="13.7109375" style="832" bestFit="1" customWidth="1"/>
    <col min="10998" max="10998" width="11.5703125" style="832" customWidth="1"/>
    <col min="10999" max="10999" width="3" style="832" customWidth="1"/>
    <col min="11000" max="11000" width="4.140625" style="832" bestFit="1" customWidth="1"/>
    <col min="11001" max="11001" width="1.85546875" style="832" customWidth="1"/>
    <col min="11002" max="11002" width="16.28515625" style="832" customWidth="1"/>
    <col min="11003" max="11003" width="15.5703125" style="832" customWidth="1"/>
    <col min="11004" max="11004" width="18.42578125" style="832" bestFit="1" customWidth="1"/>
    <col min="11005" max="11250" width="11.42578125" style="832"/>
    <col min="11251" max="11251" width="38.42578125" style="832" customWidth="1"/>
    <col min="11252" max="11252" width="3.7109375" style="832" customWidth="1"/>
    <col min="11253" max="11253" width="13.7109375" style="832" bestFit="1" customWidth="1"/>
    <col min="11254" max="11254" width="11.5703125" style="832" customWidth="1"/>
    <col min="11255" max="11255" width="3" style="832" customWidth="1"/>
    <col min="11256" max="11256" width="4.140625" style="832" bestFit="1" customWidth="1"/>
    <col min="11257" max="11257" width="1.85546875" style="832" customWidth="1"/>
    <col min="11258" max="11258" width="16.28515625" style="832" customWidth="1"/>
    <col min="11259" max="11259" width="15.5703125" style="832" customWidth="1"/>
    <col min="11260" max="11260" width="18.42578125" style="832" bestFit="1" customWidth="1"/>
    <col min="11261" max="11506" width="11.42578125" style="832"/>
    <col min="11507" max="11507" width="38.42578125" style="832" customWidth="1"/>
    <col min="11508" max="11508" width="3.7109375" style="832" customWidth="1"/>
    <col min="11509" max="11509" width="13.7109375" style="832" bestFit="1" customWidth="1"/>
    <col min="11510" max="11510" width="11.5703125" style="832" customWidth="1"/>
    <col min="11511" max="11511" width="3" style="832" customWidth="1"/>
    <col min="11512" max="11512" width="4.140625" style="832" bestFit="1" customWidth="1"/>
    <col min="11513" max="11513" width="1.85546875" style="832" customWidth="1"/>
    <col min="11514" max="11514" width="16.28515625" style="832" customWidth="1"/>
    <col min="11515" max="11515" width="15.5703125" style="832" customWidth="1"/>
    <col min="11516" max="11516" width="18.42578125" style="832" bestFit="1" customWidth="1"/>
    <col min="11517" max="11762" width="11.42578125" style="832"/>
    <col min="11763" max="11763" width="38.42578125" style="832" customWidth="1"/>
    <col min="11764" max="11764" width="3.7109375" style="832" customWidth="1"/>
    <col min="11765" max="11765" width="13.7109375" style="832" bestFit="1" customWidth="1"/>
    <col min="11766" max="11766" width="11.5703125" style="832" customWidth="1"/>
    <col min="11767" max="11767" width="3" style="832" customWidth="1"/>
    <col min="11768" max="11768" width="4.140625" style="832" bestFit="1" customWidth="1"/>
    <col min="11769" max="11769" width="1.85546875" style="832" customWidth="1"/>
    <col min="11770" max="11770" width="16.28515625" style="832" customWidth="1"/>
    <col min="11771" max="11771" width="15.5703125" style="832" customWidth="1"/>
    <col min="11772" max="11772" width="18.42578125" style="832" bestFit="1" customWidth="1"/>
    <col min="11773" max="12018" width="11.42578125" style="832"/>
    <col min="12019" max="12019" width="38.42578125" style="832" customWidth="1"/>
    <col min="12020" max="12020" width="3.7109375" style="832" customWidth="1"/>
    <col min="12021" max="12021" width="13.7109375" style="832" bestFit="1" customWidth="1"/>
    <col min="12022" max="12022" width="11.5703125" style="832" customWidth="1"/>
    <col min="12023" max="12023" width="3" style="832" customWidth="1"/>
    <col min="12024" max="12024" width="4.140625" style="832" bestFit="1" customWidth="1"/>
    <col min="12025" max="12025" width="1.85546875" style="832" customWidth="1"/>
    <col min="12026" max="12026" width="16.28515625" style="832" customWidth="1"/>
    <col min="12027" max="12027" width="15.5703125" style="832" customWidth="1"/>
    <col min="12028" max="12028" width="18.42578125" style="832" bestFit="1" customWidth="1"/>
    <col min="12029" max="12274" width="11.42578125" style="832"/>
    <col min="12275" max="12275" width="38.42578125" style="832" customWidth="1"/>
    <col min="12276" max="12276" width="3.7109375" style="832" customWidth="1"/>
    <col min="12277" max="12277" width="13.7109375" style="832" bestFit="1" customWidth="1"/>
    <col min="12278" max="12278" width="11.5703125" style="832" customWidth="1"/>
    <col min="12279" max="12279" width="3" style="832" customWidth="1"/>
    <col min="12280" max="12280" width="4.140625" style="832" bestFit="1" customWidth="1"/>
    <col min="12281" max="12281" width="1.85546875" style="832" customWidth="1"/>
    <col min="12282" max="12282" width="16.28515625" style="832" customWidth="1"/>
    <col min="12283" max="12283" width="15.5703125" style="832" customWidth="1"/>
    <col min="12284" max="12284" width="18.42578125" style="832" bestFit="1" customWidth="1"/>
    <col min="12285" max="12530" width="11.42578125" style="832"/>
    <col min="12531" max="12531" width="38.42578125" style="832" customWidth="1"/>
    <col min="12532" max="12532" width="3.7109375" style="832" customWidth="1"/>
    <col min="12533" max="12533" width="13.7109375" style="832" bestFit="1" customWidth="1"/>
    <col min="12534" max="12534" width="11.5703125" style="832" customWidth="1"/>
    <col min="12535" max="12535" width="3" style="832" customWidth="1"/>
    <col min="12536" max="12536" width="4.140625" style="832" bestFit="1" customWidth="1"/>
    <col min="12537" max="12537" width="1.85546875" style="832" customWidth="1"/>
    <col min="12538" max="12538" width="16.28515625" style="832" customWidth="1"/>
    <col min="12539" max="12539" width="15.5703125" style="832" customWidth="1"/>
    <col min="12540" max="12540" width="18.42578125" style="832" bestFit="1" customWidth="1"/>
    <col min="12541" max="12786" width="11.42578125" style="832"/>
    <col min="12787" max="12787" width="38.42578125" style="832" customWidth="1"/>
    <col min="12788" max="12788" width="3.7109375" style="832" customWidth="1"/>
    <col min="12789" max="12789" width="13.7109375" style="832" bestFit="1" customWidth="1"/>
    <col min="12790" max="12790" width="11.5703125" style="832" customWidth="1"/>
    <col min="12791" max="12791" width="3" style="832" customWidth="1"/>
    <col min="12792" max="12792" width="4.140625" style="832" bestFit="1" customWidth="1"/>
    <col min="12793" max="12793" width="1.85546875" style="832" customWidth="1"/>
    <col min="12794" max="12794" width="16.28515625" style="832" customWidth="1"/>
    <col min="12795" max="12795" width="15.5703125" style="832" customWidth="1"/>
    <col min="12796" max="12796" width="18.42578125" style="832" bestFit="1" customWidth="1"/>
    <col min="12797" max="13042" width="11.42578125" style="832"/>
    <col min="13043" max="13043" width="38.42578125" style="832" customWidth="1"/>
    <col min="13044" max="13044" width="3.7109375" style="832" customWidth="1"/>
    <col min="13045" max="13045" width="13.7109375" style="832" bestFit="1" customWidth="1"/>
    <col min="13046" max="13046" width="11.5703125" style="832" customWidth="1"/>
    <col min="13047" max="13047" width="3" style="832" customWidth="1"/>
    <col min="13048" max="13048" width="4.140625" style="832" bestFit="1" customWidth="1"/>
    <col min="13049" max="13049" width="1.85546875" style="832" customWidth="1"/>
    <col min="13050" max="13050" width="16.28515625" style="832" customWidth="1"/>
    <col min="13051" max="13051" width="15.5703125" style="832" customWidth="1"/>
    <col min="13052" max="13052" width="18.42578125" style="832" bestFit="1" customWidth="1"/>
    <col min="13053" max="13298" width="11.42578125" style="832"/>
    <col min="13299" max="13299" width="38.42578125" style="832" customWidth="1"/>
    <col min="13300" max="13300" width="3.7109375" style="832" customWidth="1"/>
    <col min="13301" max="13301" width="13.7109375" style="832" bestFit="1" customWidth="1"/>
    <col min="13302" max="13302" width="11.5703125" style="832" customWidth="1"/>
    <col min="13303" max="13303" width="3" style="832" customWidth="1"/>
    <col min="13304" max="13304" width="4.140625" style="832" bestFit="1" customWidth="1"/>
    <col min="13305" max="13305" width="1.85546875" style="832" customWidth="1"/>
    <col min="13306" max="13306" width="16.28515625" style="832" customWidth="1"/>
    <col min="13307" max="13307" width="15.5703125" style="832" customWidth="1"/>
    <col min="13308" max="13308" width="18.42578125" style="832" bestFit="1" customWidth="1"/>
    <col min="13309" max="13554" width="11.42578125" style="832"/>
    <col min="13555" max="13555" width="38.42578125" style="832" customWidth="1"/>
    <col min="13556" max="13556" width="3.7109375" style="832" customWidth="1"/>
    <col min="13557" max="13557" width="13.7109375" style="832" bestFit="1" customWidth="1"/>
    <col min="13558" max="13558" width="11.5703125" style="832" customWidth="1"/>
    <col min="13559" max="13559" width="3" style="832" customWidth="1"/>
    <col min="13560" max="13560" width="4.140625" style="832" bestFit="1" customWidth="1"/>
    <col min="13561" max="13561" width="1.85546875" style="832" customWidth="1"/>
    <col min="13562" max="13562" width="16.28515625" style="832" customWidth="1"/>
    <col min="13563" max="13563" width="15.5703125" style="832" customWidth="1"/>
    <col min="13564" max="13564" width="18.42578125" style="832" bestFit="1" customWidth="1"/>
    <col min="13565" max="13810" width="11.42578125" style="832"/>
    <col min="13811" max="13811" width="38.42578125" style="832" customWidth="1"/>
    <col min="13812" max="13812" width="3.7109375" style="832" customWidth="1"/>
    <col min="13813" max="13813" width="13.7109375" style="832" bestFit="1" customWidth="1"/>
    <col min="13814" max="13814" width="11.5703125" style="832" customWidth="1"/>
    <col min="13815" max="13815" width="3" style="832" customWidth="1"/>
    <col min="13816" max="13816" width="4.140625" style="832" bestFit="1" customWidth="1"/>
    <col min="13817" max="13817" width="1.85546875" style="832" customWidth="1"/>
    <col min="13818" max="13818" width="16.28515625" style="832" customWidth="1"/>
    <col min="13819" max="13819" width="15.5703125" style="832" customWidth="1"/>
    <col min="13820" max="13820" width="18.42578125" style="832" bestFit="1" customWidth="1"/>
    <col min="13821" max="14066" width="11.42578125" style="832"/>
    <col min="14067" max="14067" width="38.42578125" style="832" customWidth="1"/>
    <col min="14068" max="14068" width="3.7109375" style="832" customWidth="1"/>
    <col min="14069" max="14069" width="13.7109375" style="832" bestFit="1" customWidth="1"/>
    <col min="14070" max="14070" width="11.5703125" style="832" customWidth="1"/>
    <col min="14071" max="14071" width="3" style="832" customWidth="1"/>
    <col min="14072" max="14072" width="4.140625" style="832" bestFit="1" customWidth="1"/>
    <col min="14073" max="14073" width="1.85546875" style="832" customWidth="1"/>
    <col min="14074" max="14074" width="16.28515625" style="832" customWidth="1"/>
    <col min="14075" max="14075" width="15.5703125" style="832" customWidth="1"/>
    <col min="14076" max="14076" width="18.42578125" style="832" bestFit="1" customWidth="1"/>
    <col min="14077" max="14322" width="11.42578125" style="832"/>
    <col min="14323" max="14323" width="38.42578125" style="832" customWidth="1"/>
    <col min="14324" max="14324" width="3.7109375" style="832" customWidth="1"/>
    <col min="14325" max="14325" width="13.7109375" style="832" bestFit="1" customWidth="1"/>
    <col min="14326" max="14326" width="11.5703125" style="832" customWidth="1"/>
    <col min="14327" max="14327" width="3" style="832" customWidth="1"/>
    <col min="14328" max="14328" width="4.140625" style="832" bestFit="1" customWidth="1"/>
    <col min="14329" max="14329" width="1.85546875" style="832" customWidth="1"/>
    <col min="14330" max="14330" width="16.28515625" style="832" customWidth="1"/>
    <col min="14331" max="14331" width="15.5703125" style="832" customWidth="1"/>
    <col min="14332" max="14332" width="18.42578125" style="832" bestFit="1" customWidth="1"/>
    <col min="14333" max="14578" width="11.42578125" style="832"/>
    <col min="14579" max="14579" width="38.42578125" style="832" customWidth="1"/>
    <col min="14580" max="14580" width="3.7109375" style="832" customWidth="1"/>
    <col min="14581" max="14581" width="13.7109375" style="832" bestFit="1" customWidth="1"/>
    <col min="14582" max="14582" width="11.5703125" style="832" customWidth="1"/>
    <col min="14583" max="14583" width="3" style="832" customWidth="1"/>
    <col min="14584" max="14584" width="4.140625" style="832" bestFit="1" customWidth="1"/>
    <col min="14585" max="14585" width="1.85546875" style="832" customWidth="1"/>
    <col min="14586" max="14586" width="16.28515625" style="832" customWidth="1"/>
    <col min="14587" max="14587" width="15.5703125" style="832" customWidth="1"/>
    <col min="14588" max="14588" width="18.42578125" style="832" bestFit="1" customWidth="1"/>
    <col min="14589" max="14834" width="11.42578125" style="832"/>
    <col min="14835" max="14835" width="38.42578125" style="832" customWidth="1"/>
    <col min="14836" max="14836" width="3.7109375" style="832" customWidth="1"/>
    <col min="14837" max="14837" width="13.7109375" style="832" bestFit="1" customWidth="1"/>
    <col min="14838" max="14838" width="11.5703125" style="832" customWidth="1"/>
    <col min="14839" max="14839" width="3" style="832" customWidth="1"/>
    <col min="14840" max="14840" width="4.140625" style="832" bestFit="1" customWidth="1"/>
    <col min="14841" max="14841" width="1.85546875" style="832" customWidth="1"/>
    <col min="14842" max="14842" width="16.28515625" style="832" customWidth="1"/>
    <col min="14843" max="14843" width="15.5703125" style="832" customWidth="1"/>
    <col min="14844" max="14844" width="18.42578125" style="832" bestFit="1" customWidth="1"/>
    <col min="14845" max="15090" width="11.42578125" style="832"/>
    <col min="15091" max="15091" width="38.42578125" style="832" customWidth="1"/>
    <col min="15092" max="15092" width="3.7109375" style="832" customWidth="1"/>
    <col min="15093" max="15093" width="13.7109375" style="832" bestFit="1" customWidth="1"/>
    <col min="15094" max="15094" width="11.5703125" style="832" customWidth="1"/>
    <col min="15095" max="15095" width="3" style="832" customWidth="1"/>
    <col min="15096" max="15096" width="4.140625" style="832" bestFit="1" customWidth="1"/>
    <col min="15097" max="15097" width="1.85546875" style="832" customWidth="1"/>
    <col min="15098" max="15098" width="16.28515625" style="832" customWidth="1"/>
    <col min="15099" max="15099" width="15.5703125" style="832" customWidth="1"/>
    <col min="15100" max="15100" width="18.42578125" style="832" bestFit="1" customWidth="1"/>
    <col min="15101" max="15346" width="11.42578125" style="832"/>
    <col min="15347" max="15347" width="38.42578125" style="832" customWidth="1"/>
    <col min="15348" max="15348" width="3.7109375" style="832" customWidth="1"/>
    <col min="15349" max="15349" width="13.7109375" style="832" bestFit="1" customWidth="1"/>
    <col min="15350" max="15350" width="11.5703125" style="832" customWidth="1"/>
    <col min="15351" max="15351" width="3" style="832" customWidth="1"/>
    <col min="15352" max="15352" width="4.140625" style="832" bestFit="1" customWidth="1"/>
    <col min="15353" max="15353" width="1.85546875" style="832" customWidth="1"/>
    <col min="15354" max="15354" width="16.28515625" style="832" customWidth="1"/>
    <col min="15355" max="15355" width="15.5703125" style="832" customWidth="1"/>
    <col min="15356" max="15356" width="18.42578125" style="832" bestFit="1" customWidth="1"/>
    <col min="15357" max="15602" width="11.42578125" style="832"/>
    <col min="15603" max="15603" width="38.42578125" style="832" customWidth="1"/>
    <col min="15604" max="15604" width="3.7109375" style="832" customWidth="1"/>
    <col min="15605" max="15605" width="13.7109375" style="832" bestFit="1" customWidth="1"/>
    <col min="15606" max="15606" width="11.5703125" style="832" customWidth="1"/>
    <col min="15607" max="15607" width="3" style="832" customWidth="1"/>
    <col min="15608" max="15608" width="4.140625" style="832" bestFit="1" customWidth="1"/>
    <col min="15609" max="15609" width="1.85546875" style="832" customWidth="1"/>
    <col min="15610" max="15610" width="16.28515625" style="832" customWidth="1"/>
    <col min="15611" max="15611" width="15.5703125" style="832" customWidth="1"/>
    <col min="15612" max="15612" width="18.42578125" style="832" bestFit="1" customWidth="1"/>
    <col min="15613" max="15858" width="11.42578125" style="832"/>
    <col min="15859" max="15859" width="38.42578125" style="832" customWidth="1"/>
    <col min="15860" max="15860" width="3.7109375" style="832" customWidth="1"/>
    <col min="15861" max="15861" width="13.7109375" style="832" bestFit="1" customWidth="1"/>
    <col min="15862" max="15862" width="11.5703125" style="832" customWidth="1"/>
    <col min="15863" max="15863" width="3" style="832" customWidth="1"/>
    <col min="15864" max="15864" width="4.140625" style="832" bestFit="1" customWidth="1"/>
    <col min="15865" max="15865" width="1.85546875" style="832" customWidth="1"/>
    <col min="15866" max="15866" width="16.28515625" style="832" customWidth="1"/>
    <col min="15867" max="15867" width="15.5703125" style="832" customWidth="1"/>
    <col min="15868" max="15868" width="18.42578125" style="832" bestFit="1" customWidth="1"/>
    <col min="15869" max="16114" width="11.42578125" style="832"/>
    <col min="16115" max="16115" width="38.42578125" style="832" customWidth="1"/>
    <col min="16116" max="16116" width="3.7109375" style="832" customWidth="1"/>
    <col min="16117" max="16117" width="13.7109375" style="832" bestFit="1" customWidth="1"/>
    <col min="16118" max="16118" width="11.5703125" style="832" customWidth="1"/>
    <col min="16119" max="16119" width="3" style="832" customWidth="1"/>
    <col min="16120" max="16120" width="4.140625" style="832" bestFit="1" customWidth="1"/>
    <col min="16121" max="16121" width="1.85546875" style="832" customWidth="1"/>
    <col min="16122" max="16122" width="16.28515625" style="832" customWidth="1"/>
    <col min="16123" max="16123" width="15.5703125" style="832" customWidth="1"/>
    <col min="16124" max="16124" width="18.42578125" style="832" bestFit="1" customWidth="1"/>
    <col min="16125" max="16384" width="11.42578125" style="832"/>
  </cols>
  <sheetData>
    <row r="1" spans="2:21" ht="15" customHeight="1">
      <c r="B1" s="1535"/>
      <c r="C1" s="1536"/>
      <c r="D1" s="1535" t="s">
        <v>1127</v>
      </c>
      <c r="E1" s="1550"/>
      <c r="F1" s="1550"/>
      <c r="G1" s="1536"/>
      <c r="H1" s="1535"/>
      <c r="I1" s="1550"/>
      <c r="J1" s="1536"/>
    </row>
    <row r="2" spans="2:21" ht="15" customHeight="1">
      <c r="B2" s="1537"/>
      <c r="C2" s="1538"/>
      <c r="D2" s="1537"/>
      <c r="E2" s="1552"/>
      <c r="F2" s="1552"/>
      <c r="G2" s="1538"/>
      <c r="H2" s="1543" t="s">
        <v>1137</v>
      </c>
      <c r="I2" s="1544"/>
      <c r="J2" s="1545"/>
    </row>
    <row r="3" spans="2:21" ht="15" customHeight="1">
      <c r="B3" s="1537"/>
      <c r="C3" s="1538"/>
      <c r="D3" s="1537"/>
      <c r="E3" s="1552"/>
      <c r="F3" s="1552"/>
      <c r="G3" s="1538"/>
      <c r="H3" s="1543" t="s">
        <v>1138</v>
      </c>
      <c r="I3" s="1544"/>
      <c r="J3" s="1545"/>
    </row>
    <row r="4" spans="2:21">
      <c r="B4" s="1537"/>
      <c r="C4" s="1538"/>
      <c r="D4" s="1539"/>
      <c r="E4" s="1551"/>
      <c r="F4" s="1551"/>
      <c r="G4" s="1540"/>
      <c r="H4" s="1543" t="s">
        <v>1139</v>
      </c>
      <c r="I4" s="1544"/>
      <c r="J4" s="1545"/>
    </row>
    <row r="5" spans="2:21">
      <c r="B5" s="1539"/>
      <c r="C5" s="1540"/>
      <c r="D5" s="1539" t="s">
        <v>398</v>
      </c>
      <c r="E5" s="1551"/>
      <c r="F5" s="1551"/>
      <c r="G5" s="1551"/>
      <c r="H5" s="1539"/>
      <c r="I5" s="1551"/>
      <c r="J5" s="1540"/>
    </row>
    <row r="6" spans="2:21" ht="9.9499999999999993" customHeight="1">
      <c r="C6" s="1501"/>
      <c r="D6" s="1501"/>
      <c r="E6" s="1501"/>
      <c r="F6" s="1501"/>
      <c r="G6" s="1501"/>
      <c r="H6" s="1501"/>
      <c r="I6" s="1501"/>
      <c r="J6" s="1501"/>
    </row>
    <row r="7" spans="2:21" ht="20.100000000000001" customHeight="1">
      <c r="B7" s="1533" t="s">
        <v>1050</v>
      </c>
      <c r="C7" s="1533"/>
      <c r="D7" s="1533"/>
      <c r="E7" s="1533"/>
      <c r="F7" s="1533"/>
      <c r="G7" s="1533"/>
      <c r="H7" s="1533"/>
      <c r="I7" s="1533"/>
      <c r="J7" s="1534"/>
    </row>
    <row r="8" spans="2:21" ht="21.75" customHeight="1">
      <c r="B8" s="1541" t="s">
        <v>1051</v>
      </c>
      <c r="C8" s="1541"/>
      <c r="D8" s="1548" t="str">
        <f>DATOS!E12&amp;" "&amp;DATOS!G12&amp;" "&amp;DATOS!I12</f>
        <v xml:space="preserve">  </v>
      </c>
      <c r="E8" s="1548"/>
      <c r="F8" s="1548"/>
      <c r="G8" s="1548"/>
      <c r="H8" s="1548"/>
      <c r="I8" s="1548"/>
      <c r="J8" s="1548"/>
      <c r="L8" s="833"/>
    </row>
    <row r="9" spans="2:21" ht="35.1" customHeight="1">
      <c r="B9" s="1542" t="s">
        <v>8</v>
      </c>
      <c r="C9" s="1542"/>
      <c r="D9" s="1549">
        <f>+DATOS!E38</f>
        <v>0</v>
      </c>
      <c r="E9" s="1549"/>
      <c r="F9" s="1549"/>
      <c r="G9" s="1549"/>
      <c r="H9" s="1549"/>
      <c r="I9" s="1549"/>
      <c r="J9" s="1549"/>
      <c r="O9" s="864"/>
      <c r="P9" s="864"/>
      <c r="Q9" s="864"/>
      <c r="R9" s="864"/>
      <c r="S9" s="864"/>
      <c r="T9" s="864"/>
      <c r="U9" s="864"/>
    </row>
    <row r="10" spans="2:21" ht="12" customHeight="1">
      <c r="B10" s="1542" t="s">
        <v>94</v>
      </c>
      <c r="C10" s="1542"/>
      <c r="D10" s="1546" t="s">
        <v>1052</v>
      </c>
      <c r="E10" s="1546"/>
      <c r="F10" s="1546"/>
      <c r="G10" s="1546"/>
      <c r="H10" s="1546"/>
      <c r="I10" s="1546"/>
      <c r="J10" s="1546"/>
    </row>
    <row r="11" spans="2:21" ht="12" customHeight="1">
      <c r="B11" s="1542"/>
      <c r="C11" s="1542"/>
      <c r="D11" s="1546"/>
      <c r="E11" s="1546"/>
      <c r="F11" s="1546"/>
      <c r="G11" s="1546"/>
      <c r="H11" s="1546"/>
      <c r="I11" s="1546"/>
      <c r="J11" s="1546"/>
      <c r="M11" s="861"/>
      <c r="N11" s="861"/>
      <c r="O11" s="861"/>
      <c r="P11" s="861"/>
      <c r="Q11" s="861"/>
      <c r="R11" s="861"/>
      <c r="S11" s="861"/>
      <c r="T11" s="861"/>
      <c r="U11" s="861"/>
    </row>
    <row r="12" spans="2:21" ht="12" customHeight="1">
      <c r="B12" s="1542" t="s">
        <v>107</v>
      </c>
      <c r="C12" s="1542"/>
      <c r="D12" s="1546">
        <f>+DATOS!G16</f>
        <v>0</v>
      </c>
      <c r="E12" s="1546"/>
      <c r="F12" s="1546"/>
      <c r="G12" s="1546"/>
      <c r="H12" s="1546"/>
      <c r="I12" s="1546"/>
      <c r="J12" s="1546"/>
      <c r="M12" s="863"/>
      <c r="N12" s="862"/>
      <c r="O12" s="862"/>
      <c r="P12" s="862"/>
      <c r="Q12" s="862"/>
      <c r="R12" s="1491"/>
      <c r="S12" s="1491"/>
      <c r="T12" s="1490"/>
      <c r="U12" s="1490"/>
    </row>
    <row r="13" spans="2:21" ht="12" customHeight="1">
      <c r="B13" s="1542"/>
      <c r="C13" s="1542"/>
      <c r="D13" s="1546"/>
      <c r="E13" s="1546"/>
      <c r="F13" s="1546"/>
      <c r="G13" s="1546"/>
      <c r="H13" s="1546"/>
      <c r="I13" s="1546"/>
      <c r="J13" s="1546"/>
      <c r="M13" s="863"/>
      <c r="N13" s="862"/>
      <c r="O13" s="862"/>
      <c r="P13" s="862"/>
      <c r="Q13" s="862"/>
      <c r="R13" s="1491"/>
      <c r="S13" s="1491"/>
      <c r="T13" s="1490"/>
      <c r="U13" s="1490"/>
    </row>
    <row r="14" spans="2:21" ht="12" customHeight="1">
      <c r="B14" s="1542" t="s">
        <v>401</v>
      </c>
      <c r="C14" s="1542"/>
      <c r="D14" s="1547" t="str">
        <f>DATOS!E24&amp;" "&amp;DATOS!G24</f>
        <v xml:space="preserve"> </v>
      </c>
      <c r="E14" s="1547"/>
      <c r="F14" s="1547"/>
      <c r="G14" s="1547"/>
      <c r="H14" s="1547"/>
      <c r="I14" s="1547"/>
      <c r="J14" s="1547"/>
      <c r="M14" s="863"/>
      <c r="N14" s="870"/>
      <c r="O14" s="870"/>
      <c r="P14" s="870"/>
      <c r="Q14" s="870"/>
      <c r="R14" s="1491"/>
      <c r="S14" s="1491"/>
      <c r="T14" s="1490"/>
      <c r="U14" s="1490"/>
    </row>
    <row r="15" spans="2:21" ht="12" customHeight="1">
      <c r="B15" s="1542"/>
      <c r="C15" s="1542"/>
      <c r="D15" s="1547"/>
      <c r="E15" s="1547"/>
      <c r="F15" s="1547"/>
      <c r="G15" s="1547"/>
      <c r="H15" s="1547"/>
      <c r="I15" s="1547"/>
      <c r="J15" s="1547"/>
      <c r="M15" s="861"/>
      <c r="N15" s="861"/>
      <c r="O15" s="861"/>
      <c r="P15" s="861"/>
      <c r="Q15" s="861"/>
      <c r="R15" s="861"/>
      <c r="S15" s="861"/>
      <c r="T15" s="861"/>
      <c r="U15" s="861"/>
    </row>
    <row r="16" spans="2:21" ht="15" customHeight="1">
      <c r="B16" s="1542" t="s">
        <v>1053</v>
      </c>
      <c r="C16" s="1542"/>
      <c r="D16" s="1570">
        <f>+DATOS!E46</f>
        <v>0</v>
      </c>
      <c r="E16" s="1570"/>
      <c r="F16" s="1570"/>
      <c r="G16" s="1570"/>
      <c r="H16" s="1570"/>
      <c r="I16" s="1570"/>
      <c r="J16" s="1570"/>
      <c r="L16" s="834"/>
    </row>
    <row r="17" spans="2:10" ht="15" customHeight="1">
      <c r="B17" s="1542" t="s">
        <v>1054</v>
      </c>
      <c r="C17" s="1542"/>
      <c r="D17" s="1570">
        <v>3547038252</v>
      </c>
      <c r="E17" s="1570"/>
      <c r="F17" s="1570"/>
      <c r="G17" s="1570"/>
      <c r="H17" s="1570"/>
      <c r="I17" s="1570"/>
      <c r="J17" s="1570"/>
    </row>
    <row r="18" spans="2:10" ht="15" customHeight="1">
      <c r="B18" s="1542" t="s">
        <v>434</v>
      </c>
      <c r="C18" s="1542"/>
      <c r="D18" s="1570" t="s">
        <v>1055</v>
      </c>
      <c r="E18" s="1570"/>
      <c r="F18" s="1570"/>
      <c r="G18" s="1570"/>
      <c r="H18" s="1570"/>
      <c r="I18" s="1570"/>
      <c r="J18" s="1570"/>
    </row>
    <row r="19" spans="2:10" ht="15" customHeight="1">
      <c r="B19" s="1542" t="s">
        <v>1056</v>
      </c>
      <c r="C19" s="1542"/>
      <c r="D19" s="1571" t="s">
        <v>1057</v>
      </c>
      <c r="E19" s="1571"/>
      <c r="F19" s="1571"/>
      <c r="G19" s="1571"/>
      <c r="H19" s="1571"/>
      <c r="I19" s="1571"/>
      <c r="J19" s="1571"/>
    </row>
    <row r="20" spans="2:10" ht="9.9499999999999993" customHeight="1">
      <c r="C20" s="1572"/>
      <c r="D20" s="1572"/>
      <c r="E20" s="1572"/>
      <c r="F20" s="1572"/>
      <c r="G20" s="1572"/>
      <c r="H20" s="1572"/>
      <c r="I20" s="1572"/>
      <c r="J20" s="1572"/>
    </row>
    <row r="21" spans="2:10" s="835" customFormat="1" ht="20.100000000000001" customHeight="1">
      <c r="B21" s="1530" t="s">
        <v>1058</v>
      </c>
      <c r="C21" s="1531"/>
      <c r="D21" s="1531"/>
      <c r="E21" s="1531"/>
      <c r="F21" s="1531"/>
      <c r="G21" s="1531"/>
      <c r="H21" s="1531"/>
      <c r="I21" s="1531"/>
      <c r="J21" s="1532"/>
    </row>
    <row r="22" spans="2:10" s="835" customFormat="1" ht="9.9499999999999993" customHeight="1">
      <c r="C22" s="836"/>
      <c r="E22" s="837"/>
    </row>
    <row r="23" spans="2:10" ht="35.1" customHeight="1">
      <c r="B23" s="1582" t="s">
        <v>1059</v>
      </c>
      <c r="C23" s="1583"/>
      <c r="D23" s="1583"/>
      <c r="E23" s="1583"/>
      <c r="F23" s="1583"/>
      <c r="G23" s="1583"/>
      <c r="H23" s="1583"/>
      <c r="I23" s="1583"/>
      <c r="J23" s="1584"/>
    </row>
    <row r="24" spans="2:10" ht="35.1" customHeight="1">
      <c r="B24" s="1585"/>
      <c r="C24" s="1586"/>
      <c r="D24" s="1586"/>
      <c r="E24" s="1586"/>
      <c r="F24" s="1586"/>
      <c r="G24" s="1586"/>
      <c r="H24" s="1586"/>
      <c r="I24" s="1586"/>
      <c r="J24" s="1587"/>
    </row>
    <row r="25" spans="2:10" ht="35.1" customHeight="1">
      <c r="B25" s="1585"/>
      <c r="C25" s="1586"/>
      <c r="D25" s="1586"/>
      <c r="E25" s="1586"/>
      <c r="F25" s="1586"/>
      <c r="G25" s="1586"/>
      <c r="H25" s="1586"/>
      <c r="I25" s="1586"/>
      <c r="J25" s="1587"/>
    </row>
    <row r="26" spans="2:10" ht="38.25" customHeight="1">
      <c r="B26" s="1588"/>
      <c r="C26" s="1589"/>
      <c r="D26" s="1589"/>
      <c r="E26" s="1589"/>
      <c r="F26" s="1589"/>
      <c r="G26" s="1589"/>
      <c r="H26" s="1589"/>
      <c r="I26" s="1589"/>
      <c r="J26" s="1590"/>
    </row>
    <row r="27" spans="2:10" ht="9.9499999999999993" customHeight="1">
      <c r="C27" s="1553"/>
      <c r="D27" s="1553"/>
      <c r="E27" s="1553"/>
      <c r="F27" s="1553"/>
      <c r="G27" s="1553"/>
      <c r="H27" s="1553"/>
      <c r="I27" s="1553"/>
      <c r="J27" s="1553"/>
    </row>
    <row r="28" spans="2:10" s="835" customFormat="1" ht="20.100000000000001" customHeight="1">
      <c r="B28" s="1558" t="s">
        <v>1060</v>
      </c>
      <c r="C28" s="1558"/>
      <c r="D28" s="1558"/>
      <c r="E28" s="1558"/>
      <c r="F28" s="1558"/>
      <c r="G28" s="1558"/>
      <c r="H28" s="1558"/>
      <c r="I28" s="1558"/>
      <c r="J28" s="1559"/>
    </row>
    <row r="29" spans="2:10" s="835" customFormat="1" ht="15" customHeight="1">
      <c r="B29" s="1591" t="s">
        <v>1061</v>
      </c>
      <c r="C29" s="1591"/>
      <c r="D29" s="1591"/>
      <c r="E29" s="1591"/>
      <c r="F29" s="1554" t="s">
        <v>1062</v>
      </c>
      <c r="G29" s="1554"/>
      <c r="H29" s="1554"/>
      <c r="I29" s="1554"/>
      <c r="J29" s="1555"/>
    </row>
    <row r="30" spans="2:10" ht="15" customHeight="1">
      <c r="B30" s="1522" t="s">
        <v>1063</v>
      </c>
      <c r="C30" s="1499"/>
      <c r="D30" s="1499"/>
      <c r="E30" s="1499"/>
      <c r="F30" s="1556" t="s">
        <v>1064</v>
      </c>
      <c r="G30" s="1556"/>
      <c r="H30" s="1556"/>
      <c r="I30" s="1556"/>
      <c r="J30" s="1557"/>
    </row>
    <row r="31" spans="2:10" ht="15" customHeight="1">
      <c r="B31" s="1522" t="s">
        <v>1065</v>
      </c>
      <c r="C31" s="1499"/>
      <c r="D31" s="1499"/>
      <c r="E31" s="1499"/>
      <c r="F31" s="1556" t="s">
        <v>1066</v>
      </c>
      <c r="G31" s="1556"/>
      <c r="H31" s="1556"/>
      <c r="I31" s="1556"/>
      <c r="J31" s="1557"/>
    </row>
    <row r="32" spans="2:10" ht="15" customHeight="1">
      <c r="B32" s="1522" t="s">
        <v>1067</v>
      </c>
      <c r="C32" s="1499"/>
      <c r="D32" s="1499"/>
      <c r="E32" s="1499"/>
      <c r="F32" s="1556" t="s">
        <v>1068</v>
      </c>
      <c r="G32" s="1556"/>
      <c r="H32" s="1556"/>
      <c r="I32" s="1556"/>
      <c r="J32" s="1557"/>
    </row>
    <row r="33" spans="2:10" ht="15" customHeight="1">
      <c r="B33" s="1522" t="s">
        <v>1069</v>
      </c>
      <c r="C33" s="1499"/>
      <c r="D33" s="1499"/>
      <c r="E33" s="1499"/>
      <c r="F33" s="1556" t="s">
        <v>1070</v>
      </c>
      <c r="G33" s="1556"/>
      <c r="H33" s="1556"/>
      <c r="I33" s="1556"/>
      <c r="J33" s="1557"/>
    </row>
    <row r="34" spans="2:10" ht="15" customHeight="1">
      <c r="B34" s="1522" t="s">
        <v>1071</v>
      </c>
      <c r="C34" s="1499"/>
      <c r="D34" s="1499"/>
      <c r="E34" s="1499"/>
      <c r="F34" s="1556" t="s">
        <v>1072</v>
      </c>
      <c r="G34" s="1556"/>
      <c r="H34" s="1556"/>
      <c r="I34" s="1556"/>
      <c r="J34" s="1557"/>
    </row>
    <row r="35" spans="2:10" ht="15" customHeight="1">
      <c r="B35" s="1522" t="s">
        <v>1073</v>
      </c>
      <c r="C35" s="1499"/>
      <c r="D35" s="1499"/>
      <c r="E35" s="1499"/>
      <c r="F35" s="1556" t="s">
        <v>1074</v>
      </c>
      <c r="G35" s="1556"/>
      <c r="H35" s="1556"/>
      <c r="I35" s="1556"/>
      <c r="J35" s="1557"/>
    </row>
    <row r="36" spans="2:10" ht="15" customHeight="1">
      <c r="B36" s="1522" t="s">
        <v>1075</v>
      </c>
      <c r="C36" s="1499"/>
      <c r="D36" s="1499"/>
      <c r="E36" s="1499"/>
      <c r="F36" s="1556" t="s">
        <v>1076</v>
      </c>
      <c r="G36" s="1556"/>
      <c r="H36" s="1556"/>
      <c r="I36" s="1556"/>
      <c r="J36" s="1557"/>
    </row>
    <row r="37" spans="2:10" ht="15" customHeight="1">
      <c r="B37" s="1522" t="s">
        <v>1077</v>
      </c>
      <c r="C37" s="1499"/>
      <c r="D37" s="1499"/>
      <c r="E37" s="1499"/>
      <c r="F37" s="1556" t="s">
        <v>1076</v>
      </c>
      <c r="G37" s="1556"/>
      <c r="H37" s="1556"/>
      <c r="I37" s="1556"/>
      <c r="J37" s="1557"/>
    </row>
    <row r="38" spans="2:10" ht="15" customHeight="1">
      <c r="B38" s="1522" t="s">
        <v>1078</v>
      </c>
      <c r="C38" s="1499"/>
      <c r="D38" s="1499"/>
      <c r="E38" s="1499"/>
      <c r="F38" s="1556" t="s">
        <v>1079</v>
      </c>
      <c r="G38" s="1556"/>
      <c r="H38" s="1556"/>
      <c r="I38" s="1556"/>
      <c r="J38" s="1557"/>
    </row>
    <row r="39" spans="2:10" ht="15" customHeight="1">
      <c r="B39" s="1522" t="s">
        <v>1080</v>
      </c>
      <c r="C39" s="1499"/>
      <c r="D39" s="1499"/>
      <c r="E39" s="1499"/>
      <c r="F39" s="1556" t="s">
        <v>1081</v>
      </c>
      <c r="G39" s="1556"/>
      <c r="H39" s="1556"/>
      <c r="I39" s="1556"/>
      <c r="J39" s="1557"/>
    </row>
    <row r="40" spans="2:10" ht="15" customHeight="1">
      <c r="B40" s="1522" t="s">
        <v>1082</v>
      </c>
      <c r="C40" s="1499"/>
      <c r="D40" s="1499"/>
      <c r="E40" s="1499"/>
      <c r="F40" s="1556" t="s">
        <v>1083</v>
      </c>
      <c r="G40" s="1556"/>
      <c r="H40" s="1556"/>
      <c r="I40" s="1556"/>
      <c r="J40" s="1557"/>
    </row>
    <row r="41" spans="2:10" ht="15" customHeight="1">
      <c r="B41" s="1522" t="s">
        <v>1084</v>
      </c>
      <c r="C41" s="1499"/>
      <c r="D41" s="1499"/>
      <c r="E41" s="1499"/>
      <c r="F41" s="1556" t="s">
        <v>1085</v>
      </c>
      <c r="G41" s="1556"/>
      <c r="H41" s="1556"/>
      <c r="I41" s="1556"/>
      <c r="J41" s="1557"/>
    </row>
    <row r="42" spans="2:10" ht="15" customHeight="1">
      <c r="B42" s="1522" t="s">
        <v>1086</v>
      </c>
      <c r="C42" s="1499"/>
      <c r="D42" s="1499"/>
      <c r="E42" s="1499"/>
      <c r="F42" s="1556" t="s">
        <v>1085</v>
      </c>
      <c r="G42" s="1556"/>
      <c r="H42" s="1556"/>
      <c r="I42" s="1556"/>
      <c r="J42" s="1557"/>
    </row>
    <row r="43" spans="2:10" ht="15" customHeight="1">
      <c r="B43" s="1522" t="s">
        <v>1087</v>
      </c>
      <c r="C43" s="1499"/>
      <c r="D43" s="1499"/>
      <c r="E43" s="1499"/>
      <c r="F43" s="1573" t="s">
        <v>1088</v>
      </c>
      <c r="G43" s="1573"/>
      <c r="H43" s="1573"/>
      <c r="I43" s="1573"/>
      <c r="J43" s="1574"/>
    </row>
    <row r="44" spans="2:10" ht="15.75" customHeight="1" thickBot="1">
      <c r="B44" s="1522" t="s">
        <v>1089</v>
      </c>
      <c r="C44" s="1499"/>
      <c r="D44" s="1499"/>
      <c r="E44" s="1499"/>
      <c r="F44" s="1575" t="s">
        <v>1090</v>
      </c>
      <c r="G44" s="1575"/>
      <c r="H44" s="1575"/>
      <c r="I44" s="1575"/>
      <c r="J44" s="1576"/>
    </row>
    <row r="45" spans="2:10" ht="9.9499999999999993" customHeight="1">
      <c r="C45" s="838"/>
      <c r="D45" s="838"/>
      <c r="E45" s="838"/>
      <c r="F45" s="838"/>
      <c r="G45" s="838"/>
      <c r="H45" s="838"/>
      <c r="I45" s="838"/>
      <c r="J45" s="838"/>
    </row>
    <row r="46" spans="2:10" s="835" customFormat="1" ht="20.100000000000001" customHeight="1">
      <c r="B46" s="1578" t="s">
        <v>1091</v>
      </c>
      <c r="C46" s="1578"/>
      <c r="D46" s="1578"/>
      <c r="E46" s="1578"/>
      <c r="F46" s="1578"/>
      <c r="G46" s="1578"/>
      <c r="H46" s="1578"/>
      <c r="I46" s="1578"/>
      <c r="J46" s="1578"/>
    </row>
    <row r="47" spans="2:10">
      <c r="B47" s="1522" t="s">
        <v>1092</v>
      </c>
      <c r="C47" s="1499"/>
      <c r="D47" s="1499"/>
      <c r="E47" s="1499"/>
      <c r="F47" s="1499"/>
      <c r="G47" s="1499"/>
      <c r="H47" s="1577">
        <f>'[4]ACTA 6  Y FINAL'!$O$347</f>
        <v>2847169268</v>
      </c>
      <c r="I47" s="1577"/>
      <c r="J47" s="1577"/>
    </row>
    <row r="48" spans="2:10">
      <c r="B48" s="1522" t="s">
        <v>1093</v>
      </c>
      <c r="C48" s="1499"/>
      <c r="D48" s="1499"/>
      <c r="E48" s="1499"/>
      <c r="F48" s="1499"/>
      <c r="G48" s="1499"/>
      <c r="H48" s="1577">
        <f>'[4]ACTA 6  Y FINAL'!$O$348</f>
        <v>699907877</v>
      </c>
      <c r="I48" s="1577"/>
      <c r="J48" s="1577"/>
    </row>
    <row r="49" spans="2:10">
      <c r="B49" s="1522" t="s">
        <v>1094</v>
      </c>
      <c r="C49" s="1499"/>
      <c r="D49" s="1499"/>
      <c r="E49" s="1499"/>
      <c r="F49" s="1499"/>
      <c r="G49" s="1499"/>
      <c r="H49" s="1577">
        <f>H47+H48</f>
        <v>3547077145</v>
      </c>
      <c r="I49" s="1577"/>
      <c r="J49" s="1577"/>
    </row>
    <row r="50" spans="2:10">
      <c r="B50" s="1522" t="s">
        <v>1054</v>
      </c>
      <c r="C50" s="1499"/>
      <c r="D50" s="1499"/>
      <c r="E50" s="1499"/>
      <c r="F50" s="1499"/>
      <c r="G50" s="1499"/>
      <c r="H50" s="1577">
        <f>D17</f>
        <v>3547038252</v>
      </c>
      <c r="I50" s="1577"/>
      <c r="J50" s="1577"/>
    </row>
    <row r="51" spans="2:10" ht="15.75" customHeight="1">
      <c r="B51" s="1522" t="s">
        <v>1095</v>
      </c>
      <c r="C51" s="1499"/>
      <c r="D51" s="1499"/>
      <c r="E51" s="1499"/>
      <c r="F51" s="1499"/>
      <c r="G51" s="1499"/>
      <c r="H51" s="1592">
        <f>H49-H50</f>
        <v>38893</v>
      </c>
      <c r="I51" s="1592"/>
      <c r="J51" s="1592"/>
    </row>
    <row r="52" spans="2:10" ht="9.9499999999999993" customHeight="1">
      <c r="C52" s="839"/>
      <c r="D52" s="840"/>
      <c r="E52" s="841"/>
      <c r="F52" s="841"/>
      <c r="G52" s="841"/>
      <c r="H52" s="841"/>
      <c r="I52" s="841"/>
      <c r="J52" s="842"/>
    </row>
    <row r="53" spans="2:10" s="835" customFormat="1" ht="20.100000000000001" customHeight="1">
      <c r="B53" s="1558" t="s">
        <v>1096</v>
      </c>
      <c r="C53" s="1558"/>
      <c r="D53" s="1558"/>
      <c r="E53" s="1558"/>
      <c r="F53" s="1558"/>
      <c r="G53" s="1558"/>
      <c r="H53" s="1558"/>
      <c r="I53" s="1558"/>
      <c r="J53" s="1559"/>
    </row>
    <row r="54" spans="2:10" s="835" customFormat="1">
      <c r="B54" s="1523" t="s">
        <v>1092</v>
      </c>
      <c r="C54" s="1524"/>
      <c r="D54" s="1525"/>
      <c r="E54" s="1496">
        <f>H47</f>
        <v>2847169268</v>
      </c>
      <c r="F54" s="1496"/>
      <c r="G54" s="1496"/>
      <c r="H54" s="1496"/>
      <c r="I54" s="1496"/>
      <c r="J54" s="1515"/>
    </row>
    <row r="55" spans="2:10" s="835" customFormat="1">
      <c r="B55" s="1523" t="s">
        <v>1093</v>
      </c>
      <c r="C55" s="1524"/>
      <c r="D55" s="1525"/>
      <c r="E55" s="1519">
        <f>H48</f>
        <v>699907877</v>
      </c>
      <c r="F55" s="1520"/>
      <c r="G55" s="1526"/>
      <c r="H55" s="1527"/>
      <c r="I55" s="1528"/>
      <c r="J55" s="1529"/>
    </row>
    <row r="56" spans="2:10" s="835" customFormat="1">
      <c r="B56" s="1498" t="s">
        <v>1097</v>
      </c>
      <c r="C56" s="1499"/>
      <c r="D56" s="1499"/>
      <c r="E56" s="1506"/>
      <c r="F56" s="1517"/>
      <c r="G56" s="1518"/>
      <c r="H56" s="1519">
        <f>'[4]REPORTE CONSOLIDADO'!$G$16</f>
        <v>1378607355</v>
      </c>
      <c r="I56" s="1520"/>
      <c r="J56" s="1521"/>
    </row>
    <row r="57" spans="2:10" s="835" customFormat="1">
      <c r="B57" s="1498" t="s">
        <v>1098</v>
      </c>
      <c r="C57" s="1499"/>
      <c r="D57" s="1499"/>
      <c r="E57" s="1506"/>
      <c r="F57" s="1517"/>
      <c r="G57" s="1518"/>
      <c r="H57" s="1519">
        <f>'[4]REPORTE CONSOLIDADO'!$G$17</f>
        <v>892501558</v>
      </c>
      <c r="I57" s="1520"/>
      <c r="J57" s="1521"/>
    </row>
    <row r="58" spans="2:10" s="835" customFormat="1">
      <c r="B58" s="1498" t="s">
        <v>1099</v>
      </c>
      <c r="C58" s="1499"/>
      <c r="D58" s="1499"/>
      <c r="E58" s="1506"/>
      <c r="F58" s="1517"/>
      <c r="G58" s="1518"/>
      <c r="H58" s="1519">
        <f>'[4]REPORTE CONSOLIDADO'!$G$18</f>
        <v>236395841</v>
      </c>
      <c r="I58" s="1520"/>
      <c r="J58" s="1521"/>
    </row>
    <row r="59" spans="2:10" s="835" customFormat="1">
      <c r="B59" s="1498" t="s">
        <v>1100</v>
      </c>
      <c r="C59" s="1499"/>
      <c r="D59" s="1499"/>
      <c r="E59" s="1506"/>
      <c r="F59" s="1517"/>
      <c r="G59" s="1518"/>
      <c r="H59" s="1519">
        <f>'[4]REPORTE CONSOLIDADO'!$G$19</f>
        <v>515370732</v>
      </c>
      <c r="I59" s="1520"/>
      <c r="J59" s="1521"/>
    </row>
    <row r="60" spans="2:10" s="835" customFormat="1">
      <c r="B60" s="1498" t="s">
        <v>1101</v>
      </c>
      <c r="C60" s="1499"/>
      <c r="D60" s="1499"/>
      <c r="E60" s="1506"/>
      <c r="F60" s="1517"/>
      <c r="G60" s="1518"/>
      <c r="H60" s="1519">
        <f>'[4]REPORTE CONSOLIDADO'!$G$20</f>
        <v>169466079</v>
      </c>
      <c r="I60" s="1520"/>
      <c r="J60" s="1521"/>
    </row>
    <row r="61" spans="2:10" s="835" customFormat="1" ht="15" customHeight="1">
      <c r="B61" s="1498" t="s">
        <v>1102</v>
      </c>
      <c r="C61" s="1499"/>
      <c r="D61" s="1499"/>
      <c r="E61" s="1495"/>
      <c r="F61" s="1495"/>
      <c r="G61" s="1495"/>
      <c r="H61" s="1496">
        <v>354696687</v>
      </c>
      <c r="I61" s="1496"/>
      <c r="J61" s="1515"/>
    </row>
    <row r="62" spans="2:10" s="835" customFormat="1">
      <c r="B62" s="1498"/>
      <c r="C62" s="1499"/>
      <c r="D62" s="1499"/>
      <c r="E62" s="1495"/>
      <c r="F62" s="1495"/>
      <c r="G62" s="1495"/>
      <c r="H62" s="1496"/>
      <c r="I62" s="1496"/>
      <c r="J62" s="1515"/>
    </row>
    <row r="63" spans="2:10" s="835" customFormat="1">
      <c r="B63" s="1498"/>
      <c r="C63" s="1499"/>
      <c r="D63" s="1499"/>
      <c r="E63" s="1495"/>
      <c r="F63" s="1495"/>
      <c r="G63" s="1495"/>
      <c r="H63" s="1496"/>
      <c r="I63" s="1496"/>
      <c r="J63" s="1515"/>
    </row>
    <row r="64" spans="2:10" s="835" customFormat="1" ht="15" customHeight="1">
      <c r="B64" s="1498" t="s">
        <v>1095</v>
      </c>
      <c r="C64" s="1499"/>
      <c r="D64" s="1499"/>
      <c r="E64" s="1495"/>
      <c r="F64" s="1495"/>
      <c r="G64" s="1495"/>
      <c r="H64" s="1496">
        <f>(E54+E55)-(H56+H61+H57+H58+H59+H60)</f>
        <v>38893</v>
      </c>
      <c r="I64" s="1496"/>
      <c r="J64" s="1515"/>
    </row>
    <row r="65" spans="2:10" s="835" customFormat="1" ht="15.75" thickBot="1">
      <c r="B65" s="1516" t="s">
        <v>1103</v>
      </c>
      <c r="C65" s="1499"/>
      <c r="D65" s="1499"/>
      <c r="E65" s="1513">
        <f>SUM(E54:G64)</f>
        <v>3547077145</v>
      </c>
      <c r="F65" s="1513"/>
      <c r="G65" s="1513"/>
      <c r="H65" s="1513">
        <f>SUM(H54:J64)</f>
        <v>3547077145</v>
      </c>
      <c r="I65" s="1513"/>
      <c r="J65" s="1514"/>
    </row>
    <row r="66" spans="2:10" s="835" customFormat="1" ht="9.9499999999999993" customHeight="1">
      <c r="E66" s="843"/>
      <c r="F66" s="843"/>
      <c r="G66" s="844"/>
      <c r="H66" s="844"/>
    </row>
    <row r="67" spans="2:10" s="835" customFormat="1" ht="20.100000000000001" customHeight="1">
      <c r="B67" s="1510" t="s">
        <v>1104</v>
      </c>
      <c r="C67" s="1510"/>
      <c r="D67" s="1510"/>
      <c r="E67" s="1510"/>
      <c r="F67" s="1510"/>
      <c r="G67" s="1510"/>
      <c r="H67" s="1510"/>
      <c r="I67" s="1510"/>
      <c r="J67" s="1510"/>
    </row>
    <row r="68" spans="2:10" s="835" customFormat="1" ht="15" customHeight="1">
      <c r="B68" s="1498" t="s">
        <v>1105</v>
      </c>
      <c r="C68" s="1498"/>
      <c r="D68" s="1498"/>
      <c r="E68" s="1500">
        <v>0</v>
      </c>
      <c r="F68" s="1500"/>
      <c r="G68" s="1500"/>
      <c r="H68" s="1496"/>
      <c r="I68" s="1496"/>
      <c r="J68" s="1496"/>
    </row>
    <row r="69" spans="2:10" s="835" customFormat="1">
      <c r="B69" s="1498" t="s">
        <v>1106</v>
      </c>
      <c r="C69" s="1498"/>
      <c r="D69" s="1498"/>
      <c r="E69" s="1495"/>
      <c r="F69" s="1495"/>
      <c r="G69" s="1495"/>
      <c r="H69" s="1496">
        <v>0</v>
      </c>
      <c r="I69" s="1496"/>
      <c r="J69" s="1496"/>
    </row>
    <row r="70" spans="2:10" s="835" customFormat="1">
      <c r="B70" s="1498" t="s">
        <v>1107</v>
      </c>
      <c r="C70" s="1499"/>
      <c r="D70" s="1499"/>
      <c r="E70" s="1495"/>
      <c r="F70" s="1495"/>
      <c r="G70" s="1495"/>
      <c r="H70" s="1496">
        <v>0</v>
      </c>
      <c r="I70" s="1496"/>
      <c r="J70" s="1496"/>
    </row>
    <row r="71" spans="2:10" s="835" customFormat="1" ht="15" customHeight="1">
      <c r="B71" s="1498" t="s">
        <v>1108</v>
      </c>
      <c r="C71" s="1499"/>
      <c r="D71" s="1499"/>
      <c r="E71" s="1495"/>
      <c r="F71" s="1495"/>
      <c r="G71" s="1495"/>
      <c r="H71" s="1496">
        <v>0</v>
      </c>
      <c r="I71" s="1496"/>
      <c r="J71" s="1496"/>
    </row>
    <row r="72" spans="2:10" s="835" customFormat="1" ht="15" customHeight="1">
      <c r="B72" s="1498" t="s">
        <v>1109</v>
      </c>
      <c r="C72" s="1499"/>
      <c r="D72" s="1499"/>
      <c r="E72" s="1495"/>
      <c r="F72" s="1495"/>
      <c r="G72" s="1495"/>
      <c r="H72" s="1496">
        <v>0</v>
      </c>
      <c r="I72" s="1496"/>
      <c r="J72" s="1496"/>
    </row>
    <row r="73" spans="2:10" s="835" customFormat="1">
      <c r="B73" s="1498" t="s">
        <v>1110</v>
      </c>
      <c r="C73" s="1499"/>
      <c r="D73" s="1499"/>
      <c r="E73" s="1495"/>
      <c r="F73" s="1495"/>
      <c r="G73" s="1495"/>
      <c r="H73" s="1496">
        <v>0</v>
      </c>
      <c r="I73" s="1496"/>
      <c r="J73" s="1496"/>
    </row>
    <row r="74" spans="2:10" s="835" customFormat="1" ht="15" customHeight="1">
      <c r="B74" s="1498" t="s">
        <v>1111</v>
      </c>
      <c r="C74" s="1499"/>
      <c r="D74" s="1499"/>
      <c r="E74" s="1495"/>
      <c r="F74" s="1495"/>
      <c r="G74" s="1495"/>
      <c r="H74" s="1496">
        <v>0</v>
      </c>
      <c r="I74" s="1496"/>
      <c r="J74" s="1496"/>
    </row>
    <row r="75" spans="2:10" s="835" customFormat="1">
      <c r="B75" s="1511" t="s">
        <v>255</v>
      </c>
      <c r="C75" s="1512"/>
      <c r="D75" s="1512"/>
      <c r="E75" s="1493">
        <f>E68+E69+E70+E71+E72+E73</f>
        <v>0</v>
      </c>
      <c r="F75" s="1493"/>
      <c r="G75" s="1493"/>
      <c r="H75" s="1493">
        <f>H69+H70+J71+J72+J73</f>
        <v>0</v>
      </c>
      <c r="I75" s="1493"/>
      <c r="J75" s="1493"/>
    </row>
    <row r="76" spans="2:10" s="835" customFormat="1" ht="9.9499999999999993" customHeight="1">
      <c r="C76" s="845"/>
      <c r="D76" s="845"/>
      <c r="E76" s="846"/>
      <c r="F76" s="846"/>
      <c r="G76" s="846"/>
      <c r="H76" s="846"/>
      <c r="I76" s="846"/>
      <c r="J76" s="846"/>
    </row>
    <row r="77" spans="2:10" s="835" customFormat="1" ht="20.100000000000001" customHeight="1">
      <c r="B77" s="1510" t="s">
        <v>1112</v>
      </c>
      <c r="C77" s="1510"/>
      <c r="D77" s="1510"/>
      <c r="E77" s="1510"/>
      <c r="F77" s="1510"/>
      <c r="G77" s="1510"/>
      <c r="H77" s="1510"/>
      <c r="I77" s="1510"/>
      <c r="J77" s="1510"/>
    </row>
    <row r="78" spans="2:10" s="835" customFormat="1">
      <c r="B78" s="1498" t="s">
        <v>1092</v>
      </c>
      <c r="C78" s="1498"/>
      <c r="D78" s="1498"/>
      <c r="E78" s="1500">
        <f>H47</f>
        <v>2847169268</v>
      </c>
      <c r="F78" s="1500"/>
      <c r="G78" s="1500"/>
      <c r="H78" s="1496"/>
      <c r="I78" s="1496"/>
      <c r="J78" s="1496"/>
    </row>
    <row r="79" spans="2:10" s="835" customFormat="1">
      <c r="B79" s="1498" t="s">
        <v>1093</v>
      </c>
      <c r="C79" s="1499"/>
      <c r="D79" s="1499"/>
      <c r="E79" s="1500">
        <f>E55</f>
        <v>699907877</v>
      </c>
      <c r="F79" s="1500"/>
      <c r="G79" s="1500"/>
      <c r="H79" s="1509"/>
      <c r="I79" s="1509"/>
      <c r="J79" s="1509"/>
    </row>
    <row r="80" spans="2:10" s="835" customFormat="1">
      <c r="B80" s="1498" t="s">
        <v>1113</v>
      </c>
      <c r="C80" s="1499"/>
      <c r="D80" s="1499"/>
      <c r="E80" s="1495"/>
      <c r="F80" s="1495"/>
      <c r="G80" s="1495"/>
      <c r="H80" s="1496">
        <f>E68</f>
        <v>0</v>
      </c>
      <c r="I80" s="1496"/>
      <c r="J80" s="1496"/>
    </row>
    <row r="81" spans="2:10" s="835" customFormat="1">
      <c r="B81" s="1498" t="s">
        <v>1114</v>
      </c>
      <c r="C81" s="1499"/>
      <c r="D81" s="1499"/>
      <c r="E81" s="1495"/>
      <c r="F81" s="1495"/>
      <c r="G81" s="1495"/>
      <c r="H81" s="1496">
        <f>H56</f>
        <v>1378607355</v>
      </c>
      <c r="I81" s="1496"/>
      <c r="J81" s="1496"/>
    </row>
    <row r="82" spans="2:10" s="835" customFormat="1">
      <c r="B82" s="1498" t="s">
        <v>1115</v>
      </c>
      <c r="C82" s="1499"/>
      <c r="D82" s="1499"/>
      <c r="E82" s="1495"/>
      <c r="F82" s="1495"/>
      <c r="G82" s="1495"/>
      <c r="H82" s="1496">
        <f t="shared" ref="H82:H85" si="0">H57</f>
        <v>892501558</v>
      </c>
      <c r="I82" s="1496"/>
      <c r="J82" s="1496"/>
    </row>
    <row r="83" spans="2:10" s="835" customFormat="1">
      <c r="B83" s="1498" t="s">
        <v>1116</v>
      </c>
      <c r="C83" s="1499"/>
      <c r="D83" s="1499"/>
      <c r="E83" s="1495"/>
      <c r="F83" s="1495"/>
      <c r="G83" s="1495"/>
      <c r="H83" s="1496">
        <f t="shared" si="0"/>
        <v>236395841</v>
      </c>
      <c r="I83" s="1496"/>
      <c r="J83" s="1496"/>
    </row>
    <row r="84" spans="2:10" s="835" customFormat="1">
      <c r="B84" s="1498" t="s">
        <v>1117</v>
      </c>
      <c r="C84" s="1499"/>
      <c r="D84" s="1499"/>
      <c r="E84" s="1495"/>
      <c r="F84" s="1495"/>
      <c r="G84" s="1495"/>
      <c r="H84" s="1496">
        <f t="shared" si="0"/>
        <v>515370732</v>
      </c>
      <c r="I84" s="1496"/>
      <c r="J84" s="1496"/>
    </row>
    <row r="85" spans="2:10" s="835" customFormat="1">
      <c r="B85" s="1498" t="s">
        <v>1118</v>
      </c>
      <c r="C85" s="1499"/>
      <c r="D85" s="1499"/>
      <c r="E85" s="1495"/>
      <c r="F85" s="1495"/>
      <c r="G85" s="1495"/>
      <c r="H85" s="1496">
        <f t="shared" si="0"/>
        <v>169466079</v>
      </c>
      <c r="I85" s="1496"/>
      <c r="J85" s="1496"/>
    </row>
    <row r="86" spans="2:10" s="835" customFormat="1" ht="15" customHeight="1">
      <c r="B86" s="1498" t="s">
        <v>1119</v>
      </c>
      <c r="C86" s="1499"/>
      <c r="D86" s="1499"/>
      <c r="E86" s="1495"/>
      <c r="F86" s="1495"/>
      <c r="G86" s="1495"/>
      <c r="H86" s="1496">
        <f>H61-H70</f>
        <v>354696687</v>
      </c>
      <c r="I86" s="1496"/>
      <c r="J86" s="1496"/>
    </row>
    <row r="87" spans="2:10" s="835" customFormat="1">
      <c r="B87" s="1498"/>
      <c r="C87" s="1499"/>
      <c r="D87" s="1499"/>
      <c r="E87" s="1495"/>
      <c r="F87" s="1495"/>
      <c r="G87" s="1495"/>
      <c r="H87" s="1496"/>
      <c r="I87" s="1496"/>
      <c r="J87" s="1496"/>
    </row>
    <row r="88" spans="2:10" s="835" customFormat="1">
      <c r="B88" s="1498"/>
      <c r="C88" s="1499"/>
      <c r="D88" s="1499"/>
      <c r="E88" s="1495"/>
      <c r="F88" s="1495"/>
      <c r="G88" s="1495"/>
      <c r="H88" s="1496"/>
      <c r="I88" s="1496"/>
      <c r="J88" s="1496"/>
    </row>
    <row r="89" spans="2:10" s="835" customFormat="1">
      <c r="B89" s="1498"/>
      <c r="C89" s="1499"/>
      <c r="D89" s="1499"/>
      <c r="E89" s="1495"/>
      <c r="F89" s="1495"/>
      <c r="G89" s="1495"/>
      <c r="H89" s="1496"/>
      <c r="I89" s="1496"/>
      <c r="J89" s="1496"/>
    </row>
    <row r="90" spans="2:10" ht="15" customHeight="1">
      <c r="B90" s="1506" t="s">
        <v>1095</v>
      </c>
      <c r="C90" s="1507"/>
      <c r="D90" s="1508"/>
      <c r="E90" s="1497">
        <f>-H51</f>
        <v>-38893</v>
      </c>
      <c r="F90" s="1497"/>
      <c r="G90" s="1497"/>
      <c r="H90" s="1496"/>
      <c r="I90" s="1496"/>
      <c r="J90" s="1496"/>
    </row>
    <row r="91" spans="2:10" ht="15" customHeight="1">
      <c r="B91" s="1579" t="s">
        <v>255</v>
      </c>
      <c r="C91" s="1580"/>
      <c r="D91" s="1581"/>
      <c r="E91" s="1493">
        <f>E78+E79+E90</f>
        <v>3547038252</v>
      </c>
      <c r="F91" s="1493"/>
      <c r="G91" s="1493"/>
      <c r="H91" s="1493">
        <f>SUM(H78:J90)</f>
        <v>3547038252</v>
      </c>
      <c r="I91" s="1493"/>
      <c r="J91" s="1493"/>
    </row>
    <row r="92" spans="2:10" ht="9.9499999999999993" customHeight="1">
      <c r="C92" s="1494"/>
      <c r="D92" s="1494"/>
      <c r="E92" s="1494"/>
      <c r="F92" s="1494"/>
      <c r="G92" s="1494"/>
      <c r="H92" s="1494"/>
      <c r="I92" s="1494"/>
      <c r="J92" s="1494"/>
    </row>
    <row r="93" spans="2:10" ht="15.75">
      <c r="B93" s="1530" t="s">
        <v>1140</v>
      </c>
      <c r="C93" s="1531"/>
      <c r="D93" s="1531"/>
      <c r="E93" s="1531"/>
      <c r="F93" s="1531"/>
      <c r="G93" s="1531"/>
      <c r="H93" s="1531"/>
      <c r="I93" s="1531"/>
      <c r="J93" s="1532"/>
    </row>
    <row r="94" spans="2:10" ht="9.9499999999999993" customHeight="1">
      <c r="B94" s="1568" t="s">
        <v>181</v>
      </c>
      <c r="C94" s="1566" t="s">
        <v>943</v>
      </c>
      <c r="D94" s="1567"/>
      <c r="E94" s="1560" t="s">
        <v>189</v>
      </c>
      <c r="F94" s="1561"/>
      <c r="G94" s="1561"/>
      <c r="H94" s="1561"/>
      <c r="I94" s="1561"/>
      <c r="J94" s="1562"/>
    </row>
    <row r="95" spans="2:10" ht="9.9499999999999993" customHeight="1">
      <c r="B95" s="1569"/>
      <c r="C95" s="1560"/>
      <c r="D95" s="1562"/>
      <c r="E95" s="866" t="s">
        <v>342</v>
      </c>
      <c r="F95" s="1563" t="s">
        <v>317</v>
      </c>
      <c r="G95" s="1564"/>
      <c r="H95" s="1565"/>
      <c r="I95" s="883" t="s">
        <v>116</v>
      </c>
      <c r="J95" s="884" t="s">
        <v>117</v>
      </c>
    </row>
    <row r="96" spans="2:10" ht="9.9499999999999993" customHeight="1">
      <c r="B96" s="871"/>
      <c r="C96" s="1596"/>
      <c r="D96" s="1597"/>
      <c r="E96" s="872"/>
      <c r="F96" s="1598"/>
      <c r="G96" s="1598"/>
      <c r="H96" s="1598"/>
      <c r="I96" s="882"/>
      <c r="J96" s="882"/>
    </row>
    <row r="97" spans="2:10" ht="9.9499999999999993" customHeight="1">
      <c r="B97" s="871"/>
      <c r="C97" s="1596"/>
      <c r="D97" s="1597"/>
      <c r="E97" s="872"/>
      <c r="F97" s="1598"/>
      <c r="G97" s="1598"/>
      <c r="H97" s="1598"/>
      <c r="I97" s="882"/>
      <c r="J97" s="882"/>
    </row>
    <row r="98" spans="2:10" ht="9.9499999999999993" customHeight="1">
      <c r="B98" s="871"/>
      <c r="C98" s="1596"/>
      <c r="D98" s="1597"/>
      <c r="E98" s="872"/>
      <c r="F98" s="1598"/>
      <c r="G98" s="1598"/>
      <c r="H98" s="1598"/>
      <c r="I98" s="882"/>
      <c r="J98" s="882"/>
    </row>
    <row r="99" spans="2:10" ht="9.9499999999999993" customHeight="1">
      <c r="B99" s="871"/>
      <c r="C99" s="1596"/>
      <c r="D99" s="1597"/>
      <c r="E99" s="872"/>
      <c r="F99" s="1598"/>
      <c r="G99" s="1598"/>
      <c r="H99" s="1598"/>
      <c r="I99" s="882"/>
      <c r="J99" s="882"/>
    </row>
    <row r="100" spans="2:10" ht="9.9499999999999993" customHeight="1">
      <c r="B100" s="871"/>
      <c r="C100" s="1596"/>
      <c r="D100" s="1597"/>
      <c r="E100" s="872"/>
      <c r="F100" s="1598"/>
      <c r="G100" s="1598"/>
      <c r="H100" s="1598"/>
      <c r="I100" s="882"/>
      <c r="J100" s="882"/>
    </row>
    <row r="101" spans="2:10" ht="9.9499999999999993" customHeight="1">
      <c r="B101" s="871"/>
      <c r="C101" s="1596"/>
      <c r="D101" s="1597"/>
      <c r="E101" s="872"/>
      <c r="F101" s="1598"/>
      <c r="G101" s="1598"/>
      <c r="H101" s="1598"/>
      <c r="I101" s="882"/>
      <c r="J101" s="882"/>
    </row>
    <row r="102" spans="2:10" ht="9.9499999999999993" customHeight="1">
      <c r="B102" s="871"/>
      <c r="C102" s="1596"/>
      <c r="D102" s="1597"/>
      <c r="E102" s="872"/>
      <c r="F102" s="1598"/>
      <c r="G102" s="1598"/>
      <c r="H102" s="1598"/>
      <c r="I102" s="882"/>
      <c r="J102" s="882"/>
    </row>
    <row r="103" spans="2:10" ht="9.9499999999999993" customHeight="1">
      <c r="B103" s="871"/>
      <c r="C103" s="1596"/>
      <c r="D103" s="1597"/>
      <c r="E103" s="872"/>
      <c r="F103" s="1598"/>
      <c r="G103" s="1598"/>
      <c r="H103" s="1598"/>
      <c r="I103" s="882"/>
      <c r="J103" s="882"/>
    </row>
    <row r="104" spans="2:10" ht="9.9499999999999993" customHeight="1">
      <c r="B104" s="871"/>
      <c r="C104" s="1596"/>
      <c r="D104" s="1597"/>
      <c r="E104" s="872"/>
      <c r="F104" s="1598"/>
      <c r="G104" s="1598"/>
      <c r="H104" s="1598"/>
      <c r="I104" s="882"/>
      <c r="J104" s="882"/>
    </row>
    <row r="105" spans="2:10" ht="9.9499999999999993" customHeight="1">
      <c r="B105" s="871"/>
      <c r="C105" s="1596"/>
      <c r="D105" s="1597"/>
      <c r="E105" s="872"/>
      <c r="F105" s="1598"/>
      <c r="G105" s="1598"/>
      <c r="H105" s="1598"/>
      <c r="I105" s="882"/>
      <c r="J105" s="882"/>
    </row>
    <row r="106" spans="2:10" ht="9.9499999999999993" customHeight="1">
      <c r="B106" s="871"/>
      <c r="C106" s="1596"/>
      <c r="D106" s="1597"/>
      <c r="E106" s="872"/>
      <c r="F106" s="1598"/>
      <c r="G106" s="1598"/>
      <c r="H106" s="1598"/>
      <c r="I106" s="882"/>
      <c r="J106" s="882"/>
    </row>
    <row r="107" spans="2:10" ht="9.9499999999999993" customHeight="1">
      <c r="B107" s="871"/>
      <c r="C107" s="1596"/>
      <c r="D107" s="1597"/>
      <c r="E107" s="872"/>
      <c r="F107" s="1598"/>
      <c r="G107" s="1598"/>
      <c r="H107" s="1598"/>
      <c r="I107" s="882"/>
      <c r="J107" s="882"/>
    </row>
    <row r="108" spans="2:10" ht="9.9499999999999993" customHeight="1">
      <c r="B108" s="871"/>
      <c r="C108" s="1596"/>
      <c r="D108" s="1597"/>
      <c r="E108" s="872"/>
      <c r="F108" s="1598"/>
      <c r="G108" s="1598"/>
      <c r="H108" s="1598"/>
      <c r="I108" s="882"/>
      <c r="J108" s="882"/>
    </row>
    <row r="109" spans="2:10" ht="9.9499999999999993" customHeight="1">
      <c r="B109" s="871"/>
      <c r="C109" s="1596"/>
      <c r="D109" s="1597"/>
      <c r="E109" s="872"/>
      <c r="F109" s="1598"/>
      <c r="G109" s="1598"/>
      <c r="H109" s="1598"/>
      <c r="I109" s="882"/>
      <c r="J109" s="882"/>
    </row>
    <row r="110" spans="2:10" ht="9.9499999999999993" customHeight="1">
      <c r="B110" s="871"/>
      <c r="C110" s="1596"/>
      <c r="D110" s="1597"/>
      <c r="E110" s="872"/>
      <c r="F110" s="1598"/>
      <c r="G110" s="1598"/>
      <c r="H110" s="1598"/>
      <c r="I110" s="882"/>
      <c r="J110" s="882"/>
    </row>
    <row r="111" spans="2:10" ht="9.9499999999999993" customHeight="1">
      <c r="B111" s="871"/>
      <c r="C111" s="1596"/>
      <c r="D111" s="1597"/>
      <c r="E111" s="872"/>
      <c r="F111" s="1598"/>
      <c r="G111" s="1598"/>
      <c r="H111" s="1598"/>
      <c r="I111" s="882"/>
      <c r="J111" s="882"/>
    </row>
    <row r="112" spans="2:10" ht="9.9499999999999993" customHeight="1">
      <c r="B112" s="871"/>
      <c r="C112" s="1596"/>
      <c r="D112" s="1597"/>
      <c r="E112" s="872"/>
      <c r="F112" s="1598"/>
      <c r="G112" s="1598"/>
      <c r="H112" s="1598"/>
      <c r="I112" s="882"/>
      <c r="J112" s="882"/>
    </row>
    <row r="113" spans="2:12" ht="9.9499999999999993" customHeight="1">
      <c r="B113" s="871"/>
      <c r="C113" s="1596"/>
      <c r="D113" s="1597"/>
      <c r="E113" s="872"/>
      <c r="F113" s="1598"/>
      <c r="G113" s="1598"/>
      <c r="H113" s="1598"/>
      <c r="I113" s="882"/>
      <c r="J113" s="882"/>
    </row>
    <row r="114" spans="2:12" ht="9.9499999999999993" customHeight="1">
      <c r="B114" s="871"/>
      <c r="C114" s="1596"/>
      <c r="D114" s="1597"/>
      <c r="E114" s="872"/>
      <c r="F114" s="1598"/>
      <c r="G114" s="1598"/>
      <c r="H114" s="1598"/>
      <c r="I114" s="882"/>
      <c r="J114" s="882"/>
    </row>
    <row r="115" spans="2:12" ht="9.9499999999999993" customHeight="1">
      <c r="B115" s="871"/>
      <c r="C115" s="1596"/>
      <c r="D115" s="1597"/>
      <c r="E115" s="872"/>
      <c r="F115" s="1598"/>
      <c r="G115" s="1598"/>
      <c r="H115" s="1598"/>
      <c r="I115" s="882"/>
      <c r="J115" s="882"/>
    </row>
    <row r="116" spans="2:12" ht="9.9499999999999993" customHeight="1">
      <c r="B116" s="871"/>
      <c r="C116" s="1596"/>
      <c r="D116" s="1597"/>
      <c r="E116" s="872"/>
      <c r="F116" s="1598"/>
      <c r="G116" s="1598"/>
      <c r="H116" s="1598"/>
      <c r="I116" s="882"/>
      <c r="J116" s="882"/>
    </row>
    <row r="117" spans="2:12" ht="9.9499999999999993" customHeight="1">
      <c r="B117" s="871"/>
      <c r="C117" s="1596"/>
      <c r="D117" s="1597"/>
      <c r="E117" s="872"/>
      <c r="F117" s="1598"/>
      <c r="G117" s="1598"/>
      <c r="H117" s="1598"/>
      <c r="I117" s="882"/>
      <c r="J117" s="882"/>
    </row>
    <row r="118" spans="2:12" ht="9.9499999999999993" customHeight="1">
      <c r="C118" s="1597"/>
      <c r="D118" s="1597"/>
      <c r="E118" s="869"/>
      <c r="F118" s="1600"/>
      <c r="G118" s="1600"/>
      <c r="H118" s="1600"/>
      <c r="I118" s="1600"/>
      <c r="J118" s="1600"/>
    </row>
    <row r="119" spans="2:12" ht="20.100000000000001" customHeight="1">
      <c r="B119" s="1533" t="s">
        <v>1142</v>
      </c>
      <c r="C119" s="1533"/>
      <c r="D119" s="1533"/>
      <c r="E119" s="1533"/>
      <c r="F119" s="1533"/>
      <c r="G119" s="1533"/>
      <c r="H119" s="1533"/>
      <c r="I119" s="1533"/>
      <c r="J119" s="1534"/>
      <c r="L119" s="835"/>
    </row>
    <row r="120" spans="2:12" s="848" customFormat="1" ht="15" customHeight="1">
      <c r="C120" s="847"/>
      <c r="D120" s="847"/>
      <c r="E120" s="847"/>
      <c r="F120" s="847"/>
      <c r="G120" s="847"/>
      <c r="H120" s="847"/>
      <c r="I120" s="847"/>
      <c r="J120" s="847"/>
    </row>
    <row r="121" spans="2:12" s="848" customFormat="1" ht="15" customHeight="1">
      <c r="B121" s="1593" t="s">
        <v>1120</v>
      </c>
      <c r="C121" s="1593"/>
      <c r="D121" s="1593"/>
      <c r="E121" s="1593"/>
      <c r="F121" s="1593"/>
      <c r="G121" s="1593"/>
      <c r="H121" s="1593"/>
      <c r="I121" s="1593"/>
      <c r="J121" s="1593"/>
    </row>
    <row r="122" spans="2:12" s="848" customFormat="1" ht="15" customHeight="1">
      <c r="B122" s="1593"/>
      <c r="C122" s="1593"/>
      <c r="D122" s="1593"/>
      <c r="E122" s="1593"/>
      <c r="F122" s="1593"/>
      <c r="G122" s="1593"/>
      <c r="H122" s="1593"/>
      <c r="I122" s="1593"/>
      <c r="J122" s="1593"/>
    </row>
    <row r="123" spans="2:12" s="848" customFormat="1" ht="25.5" customHeight="1">
      <c r="B123" s="1593"/>
      <c r="C123" s="1593"/>
      <c r="D123" s="1593"/>
      <c r="E123" s="1593"/>
      <c r="F123" s="1593"/>
      <c r="G123" s="1593"/>
      <c r="H123" s="1593"/>
      <c r="I123" s="1593"/>
      <c r="J123" s="1593"/>
    </row>
    <row r="124" spans="2:12" s="848" customFormat="1" ht="15" customHeight="1">
      <c r="B124" s="1593" t="s">
        <v>1121</v>
      </c>
      <c r="C124" s="1593"/>
      <c r="D124" s="1593"/>
      <c r="E124" s="1593"/>
      <c r="F124" s="1593"/>
      <c r="G124" s="1593"/>
      <c r="H124" s="1593"/>
      <c r="I124" s="1593"/>
      <c r="J124" s="1593"/>
    </row>
    <row r="125" spans="2:12" s="848" customFormat="1" ht="15" customHeight="1">
      <c r="B125" s="1593"/>
      <c r="C125" s="1593"/>
      <c r="D125" s="1593"/>
      <c r="E125" s="1593"/>
      <c r="F125" s="1593"/>
      <c r="G125" s="1593"/>
      <c r="H125" s="1593"/>
      <c r="I125" s="1593"/>
      <c r="J125" s="1593"/>
    </row>
    <row r="126" spans="2:12" s="848" customFormat="1" ht="15" customHeight="1">
      <c r="B126" s="1593"/>
      <c r="C126" s="1593"/>
      <c r="D126" s="1593"/>
      <c r="E126" s="1593"/>
      <c r="F126" s="1593"/>
      <c r="G126" s="1593"/>
      <c r="H126" s="1593"/>
      <c r="I126" s="1593"/>
      <c r="J126" s="1593"/>
    </row>
    <row r="127" spans="2:12" s="848" customFormat="1" ht="19.5" customHeight="1">
      <c r="B127" s="1593"/>
      <c r="C127" s="1593"/>
      <c r="D127" s="1593"/>
      <c r="E127" s="1593"/>
      <c r="F127" s="1593"/>
      <c r="G127" s="1593"/>
      <c r="H127" s="1593"/>
      <c r="I127" s="1593"/>
      <c r="J127" s="1593"/>
    </row>
    <row r="128" spans="2:12" s="848" customFormat="1" ht="48" customHeight="1">
      <c r="B128" s="1594" t="s">
        <v>1122</v>
      </c>
      <c r="C128" s="1594"/>
      <c r="D128" s="1594"/>
      <c r="E128" s="1594"/>
      <c r="F128" s="1594"/>
      <c r="G128" s="1594"/>
      <c r="H128" s="1594"/>
      <c r="I128" s="1594"/>
      <c r="J128" s="1594"/>
    </row>
    <row r="129" spans="2:10" s="849" customFormat="1" ht="12" customHeight="1">
      <c r="B129" s="1593" t="s">
        <v>1123</v>
      </c>
      <c r="C129" s="1593"/>
      <c r="D129" s="1593"/>
      <c r="E129" s="1593"/>
      <c r="F129" s="1593"/>
      <c r="G129" s="1593"/>
      <c r="H129" s="1593"/>
      <c r="I129" s="1593"/>
      <c r="J129" s="1593"/>
    </row>
    <row r="130" spans="2:10" s="848" customFormat="1" ht="42" customHeight="1">
      <c r="B130" s="1593"/>
      <c r="C130" s="1593"/>
      <c r="D130" s="1593"/>
      <c r="E130" s="1593"/>
      <c r="F130" s="1593"/>
      <c r="G130" s="1593"/>
      <c r="H130" s="1593"/>
      <c r="I130" s="1593"/>
      <c r="J130" s="1593"/>
    </row>
    <row r="131" spans="2:10" ht="15" customHeight="1">
      <c r="B131" s="1593" t="s">
        <v>1124</v>
      </c>
      <c r="C131" s="1593"/>
      <c r="D131" s="1593"/>
      <c r="E131" s="1593"/>
      <c r="F131" s="1593"/>
      <c r="G131" s="1593"/>
      <c r="H131" s="1593"/>
      <c r="I131" s="1593"/>
      <c r="J131" s="1593"/>
    </row>
    <row r="132" spans="2:10" ht="12" customHeight="1">
      <c r="B132" s="1593"/>
      <c r="C132" s="1593"/>
      <c r="D132" s="1593"/>
      <c r="E132" s="1593"/>
      <c r="F132" s="1593"/>
      <c r="G132" s="1593"/>
      <c r="H132" s="1593"/>
      <c r="I132" s="1593"/>
      <c r="J132" s="1593"/>
    </row>
    <row r="133" spans="2:10" ht="15" hidden="1" customHeight="1">
      <c r="B133" s="1593"/>
      <c r="C133" s="1593"/>
      <c r="D133" s="1593"/>
      <c r="E133" s="1593"/>
      <c r="F133" s="1593"/>
      <c r="G133" s="1593"/>
      <c r="H133" s="1593"/>
      <c r="I133" s="1593"/>
      <c r="J133" s="1593"/>
    </row>
    <row r="134" spans="2:10" ht="15" customHeight="1">
      <c r="B134" s="1595" t="s">
        <v>1125</v>
      </c>
      <c r="C134" s="1595"/>
      <c r="D134" s="1595"/>
      <c r="E134" s="1595"/>
      <c r="F134" s="1595"/>
      <c r="G134" s="1595"/>
      <c r="H134" s="1595"/>
      <c r="I134" s="1595"/>
      <c r="J134" s="1595"/>
    </row>
    <row r="135" spans="2:10" ht="15" customHeight="1">
      <c r="B135" s="1595"/>
      <c r="C135" s="1595"/>
      <c r="D135" s="1595"/>
      <c r="E135" s="1595"/>
      <c r="F135" s="1595"/>
      <c r="G135" s="1595"/>
      <c r="H135" s="1595"/>
      <c r="I135" s="1595"/>
      <c r="J135" s="1595"/>
    </row>
    <row r="136" spans="2:10" ht="15" customHeight="1">
      <c r="C136" s="850"/>
      <c r="D136" s="850"/>
      <c r="E136" s="850"/>
      <c r="F136" s="850"/>
      <c r="G136" s="850"/>
      <c r="H136" s="850"/>
      <c r="I136" s="850"/>
      <c r="J136" s="850"/>
    </row>
    <row r="137" spans="2:10" ht="15" customHeight="1">
      <c r="C137" s="851"/>
      <c r="D137" s="851"/>
      <c r="E137" s="851"/>
      <c r="F137" s="851"/>
      <c r="G137" s="851"/>
      <c r="H137" s="851"/>
      <c r="I137" s="851"/>
      <c r="J137" s="852"/>
    </row>
    <row r="138" spans="2:10" ht="15" customHeight="1">
      <c r="C138" s="851"/>
      <c r="D138" s="851"/>
      <c r="E138" s="851"/>
      <c r="F138" s="851"/>
      <c r="G138" s="851"/>
      <c r="H138" s="851"/>
      <c r="I138" s="851"/>
      <c r="J138" s="852"/>
    </row>
    <row r="139" spans="2:10" ht="15" customHeight="1">
      <c r="C139" s="838"/>
      <c r="D139" s="838"/>
      <c r="E139" s="838"/>
      <c r="F139" s="838"/>
      <c r="G139" s="838"/>
      <c r="H139" s="838"/>
      <c r="I139" s="838"/>
      <c r="J139" s="838"/>
    </row>
    <row r="140" spans="2:10" s="854" customFormat="1" ht="15" customHeight="1">
      <c r="D140" s="853"/>
      <c r="E140" s="838"/>
      <c r="F140" s="853"/>
      <c r="G140" s="853"/>
      <c r="H140" s="853"/>
      <c r="I140" s="853"/>
      <c r="J140" s="853"/>
    </row>
    <row r="141" spans="2:10" ht="15" customHeight="1">
      <c r="C141" s="1492">
        <f>DATOS!G16</f>
        <v>0</v>
      </c>
      <c r="D141" s="1492"/>
      <c r="E141" s="855"/>
      <c r="I141" s="886">
        <f>DATOS!G30</f>
        <v>0</v>
      </c>
    </row>
    <row r="142" spans="2:10" ht="15" customHeight="1">
      <c r="C142" s="1505" t="s">
        <v>1126</v>
      </c>
      <c r="D142" s="1505"/>
      <c r="E142" s="838"/>
      <c r="I142" s="885" t="s">
        <v>1143</v>
      </c>
    </row>
    <row r="143" spans="2:10" ht="15" customHeight="1">
      <c r="C143" s="1505" t="s">
        <v>107</v>
      </c>
      <c r="D143" s="1505"/>
      <c r="E143" s="838"/>
    </row>
    <row r="144" spans="2:10" ht="15" customHeight="1">
      <c r="C144" s="856"/>
      <c r="D144" s="856"/>
      <c r="E144" s="838"/>
      <c r="F144" s="857"/>
      <c r="G144" s="857"/>
      <c r="H144" s="857"/>
      <c r="I144" s="857"/>
      <c r="J144" s="857"/>
    </row>
    <row r="145" spans="2:10" ht="15" customHeight="1">
      <c r="C145" s="856"/>
      <c r="D145" s="856"/>
      <c r="E145" s="838"/>
      <c r="F145" s="857"/>
      <c r="G145" s="857"/>
      <c r="H145" s="857"/>
      <c r="I145" s="857"/>
      <c r="J145" s="857"/>
    </row>
    <row r="146" spans="2:10" ht="15" customHeight="1">
      <c r="C146" s="856"/>
      <c r="D146" s="856"/>
      <c r="E146" s="890"/>
      <c r="F146" s="889"/>
      <c r="G146" s="889"/>
      <c r="H146" s="889"/>
      <c r="I146" s="889"/>
      <c r="J146" s="889"/>
    </row>
    <row r="147" spans="2:10" ht="15" customHeight="1">
      <c r="C147" s="894"/>
      <c r="D147" s="894"/>
      <c r="E147" s="890"/>
      <c r="F147" s="889"/>
      <c r="G147" s="889"/>
      <c r="H147" s="889"/>
      <c r="I147" s="889"/>
      <c r="J147" s="889"/>
    </row>
    <row r="148" spans="2:10" ht="15" customHeight="1">
      <c r="C148" s="1601">
        <f>DATOS!G24</f>
        <v>0</v>
      </c>
      <c r="D148" s="1601"/>
      <c r="F148" s="1492">
        <f>DATOS!E40</f>
        <v>0</v>
      </c>
      <c r="G148" s="1492"/>
      <c r="H148" s="1492"/>
      <c r="I148" s="1492"/>
      <c r="J148" s="1492"/>
    </row>
    <row r="149" spans="2:10" ht="15" customHeight="1">
      <c r="C149" s="1503" t="s">
        <v>105</v>
      </c>
      <c r="D149" s="1503"/>
      <c r="F149" s="1503" t="s">
        <v>331</v>
      </c>
      <c r="G149" s="1503"/>
      <c r="H149" s="1503"/>
      <c r="I149" s="1503"/>
      <c r="J149" s="1503"/>
    </row>
    <row r="150" spans="2:10" ht="15" customHeight="1">
      <c r="F150" s="1503" t="s">
        <v>270</v>
      </c>
      <c r="G150" s="1503"/>
      <c r="H150" s="1503"/>
      <c r="I150" s="1503"/>
      <c r="J150" s="1503"/>
    </row>
    <row r="151" spans="2:10" ht="15" customHeight="1">
      <c r="C151" s="856"/>
      <c r="D151" s="856"/>
      <c r="E151" s="838"/>
      <c r="F151" s="857"/>
      <c r="G151" s="857"/>
      <c r="H151" s="857"/>
      <c r="I151" s="857"/>
      <c r="J151" s="857"/>
    </row>
    <row r="152" spans="2:10" ht="15" customHeight="1">
      <c r="C152" s="856"/>
      <c r="D152" s="856"/>
      <c r="E152" s="838"/>
      <c r="F152" s="857"/>
      <c r="G152" s="857"/>
      <c r="H152" s="857"/>
      <c r="I152" s="857"/>
      <c r="J152" s="857"/>
    </row>
    <row r="153" spans="2:10" ht="15" customHeight="1">
      <c r="B153" s="902" t="s">
        <v>1149</v>
      </c>
      <c r="C153" s="903"/>
      <c r="D153" s="903"/>
      <c r="E153" s="903"/>
      <c r="F153" s="900"/>
      <c r="G153" s="900"/>
      <c r="H153" s="900"/>
      <c r="I153" s="900"/>
      <c r="J153" s="900"/>
    </row>
    <row r="154" spans="2:10" ht="15" customHeight="1">
      <c r="B154" s="902" t="s">
        <v>1150</v>
      </c>
      <c r="C154" s="903"/>
      <c r="D154" s="903"/>
      <c r="E154" s="903"/>
      <c r="F154" s="887"/>
      <c r="G154" s="887"/>
      <c r="I154" s="886">
        <f>DATOS!E42</f>
        <v>0</v>
      </c>
    </row>
    <row r="155" spans="2:10" ht="15" customHeight="1">
      <c r="B155" s="904" t="s">
        <v>1151</v>
      </c>
      <c r="C155" s="905"/>
      <c r="D155" s="905"/>
      <c r="E155" s="905"/>
      <c r="F155" s="1599" t="s">
        <v>330</v>
      </c>
      <c r="G155" s="1599"/>
      <c r="H155" s="1599"/>
      <c r="I155" s="1599"/>
      <c r="J155" s="1599"/>
    </row>
    <row r="156" spans="2:10" ht="15" customHeight="1">
      <c r="D156" s="888"/>
      <c r="E156" s="888"/>
      <c r="F156" s="1503" t="s">
        <v>270</v>
      </c>
      <c r="G156" s="1503"/>
      <c r="H156" s="1503"/>
      <c r="I156" s="1503"/>
      <c r="J156" s="1503"/>
    </row>
    <row r="157" spans="2:10" ht="15" customHeight="1">
      <c r="C157" s="857"/>
      <c r="D157" s="857"/>
      <c r="E157" s="857"/>
      <c r="F157" s="857"/>
      <c r="G157" s="857"/>
      <c r="H157" s="857"/>
      <c r="I157" s="857"/>
      <c r="J157" s="857"/>
    </row>
    <row r="158" spans="2:10" ht="15" customHeight="1">
      <c r="C158" s="857"/>
      <c r="D158" s="857"/>
      <c r="E158" s="857"/>
      <c r="F158" s="857"/>
      <c r="G158" s="857"/>
      <c r="H158" s="857"/>
      <c r="I158" s="857"/>
      <c r="J158" s="857"/>
    </row>
    <row r="159" spans="2:10" ht="15" customHeight="1">
      <c r="C159" s="857"/>
      <c r="D159" s="857"/>
      <c r="E159" s="857"/>
      <c r="F159" s="857"/>
      <c r="G159" s="857"/>
      <c r="H159" s="857"/>
      <c r="I159" s="857"/>
      <c r="J159" s="857"/>
    </row>
    <row r="160" spans="2:10" ht="15" customHeight="1">
      <c r="C160" s="838"/>
      <c r="D160" s="838"/>
      <c r="E160" s="838"/>
      <c r="F160" s="838"/>
      <c r="G160" s="838"/>
      <c r="H160" s="838"/>
      <c r="I160" s="838"/>
      <c r="J160" s="838"/>
    </row>
    <row r="161" spans="3:10" ht="15" customHeight="1">
      <c r="C161" s="858"/>
      <c r="D161" s="858"/>
      <c r="E161" s="838"/>
      <c r="F161" s="859"/>
      <c r="G161" s="859"/>
      <c r="H161" s="859"/>
      <c r="I161" s="859"/>
      <c r="J161" s="859"/>
    </row>
    <row r="162" spans="3:10" ht="15" customHeight="1">
      <c r="C162" s="1501"/>
      <c r="D162" s="1501"/>
      <c r="E162" s="860"/>
      <c r="F162" s="1502"/>
      <c r="G162" s="1502"/>
      <c r="H162" s="1502"/>
      <c r="I162" s="1502"/>
      <c r="J162" s="1502"/>
    </row>
    <row r="163" spans="3:10" ht="15" customHeight="1">
      <c r="C163" s="1503"/>
      <c r="D163" s="1503"/>
      <c r="E163" s="838"/>
      <c r="F163" s="1504"/>
      <c r="G163" s="1504"/>
      <c r="H163" s="1504"/>
      <c r="I163" s="1504"/>
      <c r="J163" s="1504"/>
    </row>
    <row r="164" spans="3:10" ht="15" customHeight="1">
      <c r="C164" s="838"/>
      <c r="D164" s="838"/>
      <c r="E164" s="838"/>
      <c r="F164" s="838"/>
      <c r="G164" s="838"/>
      <c r="H164" s="838"/>
      <c r="I164" s="838"/>
      <c r="J164" s="838"/>
    </row>
    <row r="165" spans="3:10" ht="15" customHeight="1">
      <c r="C165" s="838"/>
      <c r="D165" s="838"/>
      <c r="E165" s="838"/>
      <c r="F165" s="838"/>
      <c r="G165" s="838"/>
      <c r="H165" s="838"/>
      <c r="I165" s="838"/>
      <c r="J165" s="838"/>
    </row>
    <row r="166" spans="3:10" ht="15" customHeight="1">
      <c r="C166" s="838"/>
      <c r="D166" s="838"/>
      <c r="E166" s="838"/>
      <c r="F166" s="838"/>
      <c r="G166" s="838"/>
      <c r="H166" s="838"/>
      <c r="I166" s="838"/>
      <c r="J166" s="838"/>
    </row>
    <row r="167" spans="3:10" ht="15" customHeight="1">
      <c r="C167" s="848"/>
      <c r="D167" s="848"/>
      <c r="E167" s="848"/>
      <c r="F167" s="848"/>
      <c r="G167" s="848"/>
      <c r="H167" s="848"/>
      <c r="I167" s="848"/>
      <c r="J167" s="848"/>
    </row>
    <row r="168" spans="3:10" ht="15" customHeight="1"/>
    <row r="169" spans="3:10" ht="15" customHeight="1"/>
    <row r="170" spans="3:10" ht="15" customHeight="1"/>
    <row r="171" spans="3:10" ht="15" customHeight="1"/>
    <row r="172" spans="3:10" ht="15" customHeight="1"/>
    <row r="173" spans="3:10" ht="15" customHeight="1"/>
    <row r="174" spans="3:10" ht="15" customHeight="1"/>
    <row r="175" spans="3:10" ht="15" customHeight="1"/>
    <row r="176" spans="3:10"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sheetData>
  <mergeCells count="261">
    <mergeCell ref="F155:J155"/>
    <mergeCell ref="F156:J156"/>
    <mergeCell ref="F148:J148"/>
    <mergeCell ref="F149:J149"/>
    <mergeCell ref="F150:J150"/>
    <mergeCell ref="I118:J118"/>
    <mergeCell ref="C148:D148"/>
    <mergeCell ref="C149:D149"/>
    <mergeCell ref="F114:H114"/>
    <mergeCell ref="F115:H115"/>
    <mergeCell ref="F116:H116"/>
    <mergeCell ref="F117:H117"/>
    <mergeCell ref="F118:H118"/>
    <mergeCell ref="F112:H112"/>
    <mergeCell ref="F105:H105"/>
    <mergeCell ref="F106:H106"/>
    <mergeCell ref="F107:H107"/>
    <mergeCell ref="F108:H108"/>
    <mergeCell ref="F109:H109"/>
    <mergeCell ref="F110:H110"/>
    <mergeCell ref="F111:H111"/>
    <mergeCell ref="C118:D118"/>
    <mergeCell ref="F113:H113"/>
    <mergeCell ref="C112:D112"/>
    <mergeCell ref="C113:D113"/>
    <mergeCell ref="C114:D114"/>
    <mergeCell ref="C115:D115"/>
    <mergeCell ref="C116:D116"/>
    <mergeCell ref="C117:D117"/>
    <mergeCell ref="F96:H96"/>
    <mergeCell ref="F97:H97"/>
    <mergeCell ref="F98:H98"/>
    <mergeCell ref="F99:H99"/>
    <mergeCell ref="F100:H100"/>
    <mergeCell ref="F101:H101"/>
    <mergeCell ref="F102:H102"/>
    <mergeCell ref="F103:H103"/>
    <mergeCell ref="F104:H104"/>
    <mergeCell ref="B48:G48"/>
    <mergeCell ref="B119:J119"/>
    <mergeCell ref="B121:J123"/>
    <mergeCell ref="B124:J127"/>
    <mergeCell ref="B128:J128"/>
    <mergeCell ref="B129:J130"/>
    <mergeCell ref="B131:J133"/>
    <mergeCell ref="B134:J13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H4:J4"/>
    <mergeCell ref="B91:D91"/>
    <mergeCell ref="B23:J26"/>
    <mergeCell ref="B29:E29"/>
    <mergeCell ref="B30:E30"/>
    <mergeCell ref="B31:E31"/>
    <mergeCell ref="B32:E32"/>
    <mergeCell ref="B33:E33"/>
    <mergeCell ref="B34:E34"/>
    <mergeCell ref="B35:E35"/>
    <mergeCell ref="B36:E36"/>
    <mergeCell ref="B40:E40"/>
    <mergeCell ref="B41:E41"/>
    <mergeCell ref="B42:E42"/>
    <mergeCell ref="B43:E43"/>
    <mergeCell ref="B44:E44"/>
    <mergeCell ref="B47:G47"/>
    <mergeCell ref="H51:J51"/>
    <mergeCell ref="E54:G54"/>
    <mergeCell ref="H54:J54"/>
    <mergeCell ref="H48:J48"/>
    <mergeCell ref="H49:J49"/>
    <mergeCell ref="H50:J50"/>
    <mergeCell ref="B53:J53"/>
    <mergeCell ref="E94:J94"/>
    <mergeCell ref="F95:H95"/>
    <mergeCell ref="C94:D95"/>
    <mergeCell ref="B93:J93"/>
    <mergeCell ref="B94:B95"/>
    <mergeCell ref="D16:J16"/>
    <mergeCell ref="D17:J17"/>
    <mergeCell ref="D18:J18"/>
    <mergeCell ref="D19:J19"/>
    <mergeCell ref="C20:J20"/>
    <mergeCell ref="F38:J38"/>
    <mergeCell ref="F39:J39"/>
    <mergeCell ref="B38:E38"/>
    <mergeCell ref="B39:E39"/>
    <mergeCell ref="F43:J43"/>
    <mergeCell ref="F44:J44"/>
    <mergeCell ref="H47:J47"/>
    <mergeCell ref="F40:J40"/>
    <mergeCell ref="F41:J41"/>
    <mergeCell ref="F42:J42"/>
    <mergeCell ref="B46:J46"/>
    <mergeCell ref="F31:J31"/>
    <mergeCell ref="F32:J32"/>
    <mergeCell ref="F33:J33"/>
    <mergeCell ref="C27:J27"/>
    <mergeCell ref="F29:J29"/>
    <mergeCell ref="F30:J30"/>
    <mergeCell ref="B28:J28"/>
    <mergeCell ref="F37:J37"/>
    <mergeCell ref="F34:J34"/>
    <mergeCell ref="F35:J35"/>
    <mergeCell ref="F36:J36"/>
    <mergeCell ref="B37:E37"/>
    <mergeCell ref="B21:J21"/>
    <mergeCell ref="B7:J7"/>
    <mergeCell ref="B1:C5"/>
    <mergeCell ref="B8:C8"/>
    <mergeCell ref="B9:C9"/>
    <mergeCell ref="B10:C11"/>
    <mergeCell ref="B12:C13"/>
    <mergeCell ref="B14:C15"/>
    <mergeCell ref="B16:C16"/>
    <mergeCell ref="B17:C17"/>
    <mergeCell ref="B18:C18"/>
    <mergeCell ref="B19:C19"/>
    <mergeCell ref="H2:J2"/>
    <mergeCell ref="D10:J11"/>
    <mergeCell ref="D12:J13"/>
    <mergeCell ref="D14:J15"/>
    <mergeCell ref="C6:J6"/>
    <mergeCell ref="D8:J8"/>
    <mergeCell ref="D9:J9"/>
    <mergeCell ref="H1:J1"/>
    <mergeCell ref="H5:J5"/>
    <mergeCell ref="D5:G5"/>
    <mergeCell ref="D1:G4"/>
    <mergeCell ref="H3:J3"/>
    <mergeCell ref="B49:G49"/>
    <mergeCell ref="B50:G50"/>
    <mergeCell ref="B51:G51"/>
    <mergeCell ref="B54:D54"/>
    <mergeCell ref="E57:G57"/>
    <mergeCell ref="H57:J57"/>
    <mergeCell ref="E58:G58"/>
    <mergeCell ref="H58:J58"/>
    <mergeCell ref="E55:G55"/>
    <mergeCell ref="H55:J55"/>
    <mergeCell ref="E56:G56"/>
    <mergeCell ref="H56:J56"/>
    <mergeCell ref="B55:D55"/>
    <mergeCell ref="B56:D56"/>
    <mergeCell ref="B57:D57"/>
    <mergeCell ref="B58:D58"/>
    <mergeCell ref="E61:G61"/>
    <mergeCell ref="H61:J61"/>
    <mergeCell ref="E62:G62"/>
    <mergeCell ref="H62:J62"/>
    <mergeCell ref="E59:G59"/>
    <mergeCell ref="H59:J59"/>
    <mergeCell ref="E60:G60"/>
    <mergeCell ref="H60:J60"/>
    <mergeCell ref="B59:D59"/>
    <mergeCell ref="B60:D60"/>
    <mergeCell ref="B61:D61"/>
    <mergeCell ref="B62:D62"/>
    <mergeCell ref="E65:G65"/>
    <mergeCell ref="H65:J65"/>
    <mergeCell ref="E68:G68"/>
    <mergeCell ref="H68:J68"/>
    <mergeCell ref="E63:G63"/>
    <mergeCell ref="H63:J63"/>
    <mergeCell ref="E64:G64"/>
    <mergeCell ref="H64:J64"/>
    <mergeCell ref="B67:J67"/>
    <mergeCell ref="B63:D63"/>
    <mergeCell ref="B64:D64"/>
    <mergeCell ref="B65:D65"/>
    <mergeCell ref="B68:D68"/>
    <mergeCell ref="E71:G71"/>
    <mergeCell ref="H71:J71"/>
    <mergeCell ref="E72:G72"/>
    <mergeCell ref="H72:J72"/>
    <mergeCell ref="E69:G69"/>
    <mergeCell ref="H69:J69"/>
    <mergeCell ref="E70:G70"/>
    <mergeCell ref="H70:J70"/>
    <mergeCell ref="B69:D69"/>
    <mergeCell ref="B70:D70"/>
    <mergeCell ref="B71:D71"/>
    <mergeCell ref="B72:D72"/>
    <mergeCell ref="B79:D79"/>
    <mergeCell ref="B80:D80"/>
    <mergeCell ref="B81:D81"/>
    <mergeCell ref="B82:D82"/>
    <mergeCell ref="E75:G75"/>
    <mergeCell ref="H75:J75"/>
    <mergeCell ref="E78:G78"/>
    <mergeCell ref="H78:J78"/>
    <mergeCell ref="E73:G73"/>
    <mergeCell ref="H73:J73"/>
    <mergeCell ref="E74:G74"/>
    <mergeCell ref="H74:J74"/>
    <mergeCell ref="B77:J77"/>
    <mergeCell ref="B73:D73"/>
    <mergeCell ref="B74:D74"/>
    <mergeCell ref="B75:D75"/>
    <mergeCell ref="B78:D78"/>
    <mergeCell ref="C162:D162"/>
    <mergeCell ref="F162:J162"/>
    <mergeCell ref="C163:D163"/>
    <mergeCell ref="F163:J163"/>
    <mergeCell ref="C142:D142"/>
    <mergeCell ref="C143:D143"/>
    <mergeCell ref="R12:S12"/>
    <mergeCell ref="E87:G87"/>
    <mergeCell ref="H87:J87"/>
    <mergeCell ref="E88:G88"/>
    <mergeCell ref="H88:J88"/>
    <mergeCell ref="B87:D87"/>
    <mergeCell ref="B88:D88"/>
    <mergeCell ref="B89:D89"/>
    <mergeCell ref="B90:D90"/>
    <mergeCell ref="E85:G85"/>
    <mergeCell ref="H85:J85"/>
    <mergeCell ref="E86:G86"/>
    <mergeCell ref="H86:J86"/>
    <mergeCell ref="E83:G83"/>
    <mergeCell ref="H83:J83"/>
    <mergeCell ref="E84:G84"/>
    <mergeCell ref="H79:J79"/>
    <mergeCell ref="E80:G80"/>
    <mergeCell ref="T12:U12"/>
    <mergeCell ref="R13:S13"/>
    <mergeCell ref="T13:U13"/>
    <mergeCell ref="R14:S14"/>
    <mergeCell ref="T14:U14"/>
    <mergeCell ref="C141:D141"/>
    <mergeCell ref="E91:G91"/>
    <mergeCell ref="H91:J91"/>
    <mergeCell ref="C92:J92"/>
    <mergeCell ref="E89:G89"/>
    <mergeCell ref="H89:J89"/>
    <mergeCell ref="E90:G90"/>
    <mergeCell ref="H90:J90"/>
    <mergeCell ref="H84:J84"/>
    <mergeCell ref="B83:D83"/>
    <mergeCell ref="B84:D84"/>
    <mergeCell ref="B85:D85"/>
    <mergeCell ref="B86:D86"/>
    <mergeCell ref="E81:G81"/>
    <mergeCell ref="H81:J81"/>
    <mergeCell ref="E82:G82"/>
    <mergeCell ref="H82:J82"/>
    <mergeCell ref="E79:G79"/>
    <mergeCell ref="H80:J80"/>
  </mergeCells>
  <printOptions horizontalCentered="1" verticalCentered="1"/>
  <pageMargins left="0.23622047244094491" right="0.23622047244094491" top="0.55118110236220474" bottom="0.19685039370078741" header="0.31496062992125984" footer="0.31496062992125984"/>
  <pageSetup scale="83" orientation="portrait" r:id="rId1"/>
  <headerFooter>
    <oddFooter>&amp;CPágina &amp;P de &amp;F&amp;R&amp;G</oddFooter>
    <firstHeader>&amp;LPAGINA 1</firstHeader>
  </headerFooter>
  <rowBreaks count="2" manualBreakCount="2">
    <brk id="44" max="16383" man="1"/>
    <brk id="91"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J105"/>
  <sheetViews>
    <sheetView view="pageBreakPreview" zoomScale="110" zoomScaleNormal="100" zoomScaleSheetLayoutView="110" workbookViewId="0">
      <selection activeCell="F62" sqref="F62:G66"/>
    </sheetView>
  </sheetViews>
  <sheetFormatPr baseColWidth="10" defaultColWidth="11.5703125" defaultRowHeight="14.25"/>
  <cols>
    <col min="1" max="1" width="7.7109375" style="42" customWidth="1"/>
    <col min="2" max="2" width="15" style="42" customWidth="1"/>
    <col min="3" max="3" width="38.140625" style="42" customWidth="1"/>
    <col min="4" max="4" width="7.7109375" style="42" customWidth="1"/>
    <col min="5" max="5" width="9.7109375" style="42" customWidth="1"/>
    <col min="6" max="6" width="8.5703125" style="42" customWidth="1"/>
    <col min="7" max="7" width="6.28515625" style="42" customWidth="1"/>
    <col min="8" max="8" width="4.28515625" style="42" customWidth="1"/>
    <col min="9" max="9" width="11.7109375" style="42" customWidth="1"/>
    <col min="10" max="10" width="11.5703125" style="333" customWidth="1"/>
    <col min="11" max="16384" width="11.5703125" style="42"/>
  </cols>
  <sheetData>
    <row r="1" spans="1:10" ht="18.600000000000001" customHeight="1">
      <c r="A1" s="1015"/>
      <c r="B1" s="56"/>
      <c r="C1" s="1018" t="s">
        <v>114</v>
      </c>
      <c r="D1" s="1019"/>
      <c r="E1" s="1020"/>
      <c r="F1" s="1016" t="s">
        <v>90</v>
      </c>
      <c r="G1" s="1016"/>
      <c r="H1" s="970" t="s">
        <v>1129</v>
      </c>
      <c r="I1" s="970"/>
      <c r="J1" s="332"/>
    </row>
    <row r="2" spans="1:10" ht="18.600000000000001" customHeight="1">
      <c r="A2" s="1015"/>
      <c r="B2" s="57"/>
      <c r="C2" s="1021"/>
      <c r="D2" s="1022"/>
      <c r="E2" s="1023"/>
      <c r="F2" s="1016" t="s">
        <v>89</v>
      </c>
      <c r="G2" s="1016"/>
      <c r="H2" s="1017" t="s">
        <v>248</v>
      </c>
      <c r="I2" s="1017"/>
      <c r="J2" s="332"/>
    </row>
    <row r="3" spans="1:10" ht="18.600000000000001" customHeight="1">
      <c r="A3" s="1015"/>
      <c r="B3" s="57"/>
      <c r="C3" s="1024"/>
      <c r="D3" s="1025"/>
      <c r="E3" s="1026"/>
      <c r="F3" s="1016" t="s">
        <v>88</v>
      </c>
      <c r="G3" s="1016"/>
      <c r="H3" s="971">
        <v>42705</v>
      </c>
      <c r="I3" s="970"/>
      <c r="J3" s="332"/>
    </row>
    <row r="4" spans="1:10" ht="18.600000000000001" customHeight="1">
      <c r="A4" s="1015"/>
      <c r="B4" s="58"/>
      <c r="C4" s="1027" t="s">
        <v>93</v>
      </c>
      <c r="D4" s="1028"/>
      <c r="E4" s="1029"/>
      <c r="F4" s="1016" t="s">
        <v>87</v>
      </c>
      <c r="G4" s="1016"/>
      <c r="H4" s="970"/>
      <c r="I4" s="970"/>
      <c r="J4" s="332"/>
    </row>
    <row r="5" spans="1:10" ht="34.9" customHeight="1" thickBot="1">
      <c r="A5" s="43"/>
      <c r="B5" s="43"/>
      <c r="C5" s="43"/>
      <c r="D5" s="43"/>
      <c r="E5" s="43"/>
      <c r="F5" s="43"/>
      <c r="G5" s="43"/>
      <c r="H5" s="43"/>
      <c r="I5" s="43"/>
      <c r="J5" s="332"/>
    </row>
    <row r="6" spans="1:10" ht="32.450000000000003" customHeight="1" thickBot="1">
      <c r="A6" s="59" t="s">
        <v>92</v>
      </c>
      <c r="B6" s="1035" t="s">
        <v>115</v>
      </c>
      <c r="C6" s="1035"/>
      <c r="D6" s="60" t="s">
        <v>119</v>
      </c>
      <c r="E6" s="60" t="s">
        <v>118</v>
      </c>
      <c r="F6" s="1034" t="s">
        <v>116</v>
      </c>
      <c r="G6" s="1034"/>
      <c r="H6" s="1032" t="s">
        <v>117</v>
      </c>
      <c r="I6" s="1033"/>
      <c r="J6" s="332"/>
    </row>
    <row r="7" spans="1:10" ht="7.15" customHeight="1">
      <c r="A7" s="79"/>
      <c r="B7" s="1009"/>
      <c r="C7" s="1009"/>
      <c r="D7" s="79"/>
      <c r="E7" s="79"/>
      <c r="F7" s="1030"/>
      <c r="G7" s="1030"/>
      <c r="H7" s="992"/>
      <c r="I7" s="992"/>
      <c r="J7" s="332"/>
    </row>
    <row r="8" spans="1:10" ht="6.6" customHeight="1">
      <c r="A8" s="79"/>
      <c r="B8" s="78"/>
      <c r="C8" s="78"/>
      <c r="D8" s="79"/>
      <c r="E8" s="79"/>
      <c r="F8" s="1036"/>
      <c r="G8" s="1037"/>
      <c r="H8" s="1038"/>
      <c r="I8" s="1039"/>
      <c r="J8" s="332">
        <f>J7+1</f>
        <v>1</v>
      </c>
    </row>
    <row r="9" spans="1:10">
      <c r="A9" s="61"/>
      <c r="B9" s="1031" t="s">
        <v>329</v>
      </c>
      <c r="C9" s="1031"/>
      <c r="D9" s="61"/>
      <c r="E9" s="62"/>
      <c r="F9" s="1011"/>
      <c r="G9" s="1011"/>
      <c r="H9" s="980"/>
      <c r="I9" s="980"/>
      <c r="J9" s="332">
        <f t="shared" ref="J9:J51" si="0">J8+1</f>
        <v>2</v>
      </c>
    </row>
    <row r="10" spans="1:10">
      <c r="A10" s="63">
        <v>1</v>
      </c>
      <c r="B10" s="990" t="s">
        <v>120</v>
      </c>
      <c r="C10" s="990"/>
      <c r="D10" s="64"/>
      <c r="E10" s="65"/>
      <c r="F10" s="1012"/>
      <c r="G10" s="1012"/>
      <c r="H10" s="1014"/>
      <c r="I10" s="1014"/>
      <c r="J10" s="332">
        <f t="shared" si="0"/>
        <v>3</v>
      </c>
    </row>
    <row r="11" spans="1:10">
      <c r="A11" s="61" t="s">
        <v>122</v>
      </c>
      <c r="B11" s="976"/>
      <c r="C11" s="976"/>
      <c r="D11" s="61" t="s">
        <v>162</v>
      </c>
      <c r="E11" s="62"/>
      <c r="F11" s="978"/>
      <c r="G11" s="978"/>
      <c r="H11" s="993">
        <f>ROUND(E11*F11,0)</f>
        <v>0</v>
      </c>
      <c r="I11" s="993"/>
      <c r="J11" s="332">
        <f t="shared" si="0"/>
        <v>4</v>
      </c>
    </row>
    <row r="12" spans="1:10" ht="13.9" customHeight="1">
      <c r="A12" s="63">
        <v>2</v>
      </c>
      <c r="B12" s="990" t="s">
        <v>121</v>
      </c>
      <c r="C12" s="990"/>
      <c r="D12" s="64"/>
      <c r="E12" s="65"/>
      <c r="F12" s="1001"/>
      <c r="G12" s="1001"/>
      <c r="H12" s="1000"/>
      <c r="I12" s="1000"/>
      <c r="J12" s="332">
        <f t="shared" si="0"/>
        <v>5</v>
      </c>
    </row>
    <row r="13" spans="1:10">
      <c r="A13" s="61" t="s">
        <v>123</v>
      </c>
      <c r="B13" s="976"/>
      <c r="C13" s="976"/>
      <c r="D13" s="61" t="s">
        <v>162</v>
      </c>
      <c r="E13" s="62"/>
      <c r="F13" s="978"/>
      <c r="G13" s="978"/>
      <c r="H13" s="993">
        <f>ROUND(E13*F13,0)</f>
        <v>0</v>
      </c>
      <c r="I13" s="993"/>
      <c r="J13" s="332">
        <f t="shared" si="0"/>
        <v>6</v>
      </c>
    </row>
    <row r="14" spans="1:10">
      <c r="A14" s="61" t="s">
        <v>124</v>
      </c>
      <c r="B14" s="976"/>
      <c r="C14" s="976"/>
      <c r="D14" s="66" t="s">
        <v>163</v>
      </c>
      <c r="E14" s="67"/>
      <c r="F14" s="978"/>
      <c r="G14" s="978"/>
      <c r="H14" s="993">
        <f t="shared" ref="H14:H16" si="1">ROUND(E14*F14,0)</f>
        <v>0</v>
      </c>
      <c r="I14" s="993"/>
      <c r="J14" s="332">
        <f t="shared" si="0"/>
        <v>7</v>
      </c>
    </row>
    <row r="15" spans="1:10">
      <c r="A15" s="61" t="s">
        <v>125</v>
      </c>
      <c r="B15" s="976"/>
      <c r="C15" s="976"/>
      <c r="D15" s="61" t="s">
        <v>163</v>
      </c>
      <c r="E15" s="62"/>
      <c r="F15" s="978"/>
      <c r="G15" s="978"/>
      <c r="H15" s="993">
        <f t="shared" si="1"/>
        <v>0</v>
      </c>
      <c r="I15" s="993"/>
      <c r="J15" s="332">
        <f t="shared" si="0"/>
        <v>8</v>
      </c>
    </row>
    <row r="16" spans="1:10">
      <c r="A16" s="61" t="s">
        <v>126</v>
      </c>
      <c r="B16" s="976"/>
      <c r="C16" s="976"/>
      <c r="D16" s="61" t="s">
        <v>164</v>
      </c>
      <c r="E16" s="62"/>
      <c r="F16" s="978"/>
      <c r="G16" s="978"/>
      <c r="H16" s="993">
        <f t="shared" si="1"/>
        <v>0</v>
      </c>
      <c r="I16" s="993"/>
      <c r="J16" s="332">
        <f t="shared" si="0"/>
        <v>9</v>
      </c>
    </row>
    <row r="17" spans="1:10" ht="13.9" customHeight="1">
      <c r="A17" s="63">
        <v>3</v>
      </c>
      <c r="B17" s="990" t="s">
        <v>127</v>
      </c>
      <c r="C17" s="990"/>
      <c r="D17" s="64"/>
      <c r="E17" s="65"/>
      <c r="F17" s="1001"/>
      <c r="G17" s="1001"/>
      <c r="H17" s="1000"/>
      <c r="I17" s="1000"/>
      <c r="J17" s="332">
        <f t="shared" si="0"/>
        <v>10</v>
      </c>
    </row>
    <row r="18" spans="1:10">
      <c r="A18" s="61" t="s">
        <v>128</v>
      </c>
      <c r="B18" s="976"/>
      <c r="C18" s="976"/>
      <c r="D18" s="66" t="s">
        <v>165</v>
      </c>
      <c r="E18" s="67"/>
      <c r="F18" s="978"/>
      <c r="G18" s="978"/>
      <c r="H18" s="993">
        <f>ROUND(E18*F18,0)</f>
        <v>0</v>
      </c>
      <c r="I18" s="993"/>
      <c r="J18" s="332">
        <f t="shared" si="0"/>
        <v>11</v>
      </c>
    </row>
    <row r="19" spans="1:10">
      <c r="A19" s="61" t="s">
        <v>129</v>
      </c>
      <c r="B19" s="976"/>
      <c r="C19" s="976"/>
      <c r="D19" s="68" t="s">
        <v>165</v>
      </c>
      <c r="E19" s="69"/>
      <c r="F19" s="978"/>
      <c r="G19" s="978"/>
      <c r="H19" s="993">
        <f t="shared" ref="H19:H29" si="2">ROUND(E19*F19,0)</f>
        <v>0</v>
      </c>
      <c r="I19" s="993"/>
      <c r="J19" s="332">
        <f t="shared" si="0"/>
        <v>12</v>
      </c>
    </row>
    <row r="20" spans="1:10">
      <c r="A20" s="61" t="s">
        <v>130</v>
      </c>
      <c r="B20" s="976"/>
      <c r="C20" s="976"/>
      <c r="D20" s="68" t="s">
        <v>165</v>
      </c>
      <c r="E20" s="69"/>
      <c r="F20" s="978"/>
      <c r="G20" s="978"/>
      <c r="H20" s="993">
        <f t="shared" si="2"/>
        <v>0</v>
      </c>
      <c r="I20" s="993"/>
      <c r="J20" s="332">
        <f t="shared" si="0"/>
        <v>13</v>
      </c>
    </row>
    <row r="21" spans="1:10">
      <c r="A21" s="61" t="s">
        <v>131</v>
      </c>
      <c r="B21" s="976"/>
      <c r="C21" s="976"/>
      <c r="D21" s="68" t="s">
        <v>165</v>
      </c>
      <c r="E21" s="69"/>
      <c r="F21" s="978"/>
      <c r="G21" s="978"/>
      <c r="H21" s="993">
        <f t="shared" si="2"/>
        <v>0</v>
      </c>
      <c r="I21" s="993"/>
      <c r="J21" s="332">
        <f t="shared" si="0"/>
        <v>14</v>
      </c>
    </row>
    <row r="22" spans="1:10">
      <c r="A22" s="61" t="s">
        <v>132</v>
      </c>
      <c r="B22" s="976"/>
      <c r="C22" s="976"/>
      <c r="D22" s="68" t="s">
        <v>165</v>
      </c>
      <c r="E22" s="69"/>
      <c r="F22" s="978"/>
      <c r="G22" s="978"/>
      <c r="H22" s="993">
        <f t="shared" si="2"/>
        <v>0</v>
      </c>
      <c r="I22" s="993"/>
      <c r="J22" s="332">
        <f t="shared" si="0"/>
        <v>15</v>
      </c>
    </row>
    <row r="23" spans="1:10">
      <c r="A23" s="61" t="s">
        <v>133</v>
      </c>
      <c r="B23" s="976"/>
      <c r="C23" s="976"/>
      <c r="D23" s="68" t="s">
        <v>165</v>
      </c>
      <c r="E23" s="69"/>
      <c r="F23" s="978"/>
      <c r="G23" s="978"/>
      <c r="H23" s="993">
        <f t="shared" si="2"/>
        <v>0</v>
      </c>
      <c r="I23" s="993"/>
      <c r="J23" s="332">
        <f t="shared" si="0"/>
        <v>16</v>
      </c>
    </row>
    <row r="24" spans="1:10">
      <c r="A24" s="61" t="s">
        <v>134</v>
      </c>
      <c r="B24" s="976"/>
      <c r="C24" s="976"/>
      <c r="D24" s="68" t="s">
        <v>165</v>
      </c>
      <c r="E24" s="69"/>
      <c r="F24" s="978"/>
      <c r="G24" s="978"/>
      <c r="H24" s="993">
        <f t="shared" si="2"/>
        <v>0</v>
      </c>
      <c r="I24" s="993"/>
      <c r="J24" s="332">
        <f t="shared" si="0"/>
        <v>17</v>
      </c>
    </row>
    <row r="25" spans="1:10">
      <c r="A25" s="61" t="s">
        <v>135</v>
      </c>
      <c r="B25" s="976"/>
      <c r="C25" s="976"/>
      <c r="D25" s="68" t="s">
        <v>163</v>
      </c>
      <c r="E25" s="69"/>
      <c r="F25" s="978"/>
      <c r="G25" s="978"/>
      <c r="H25" s="993">
        <f t="shared" si="2"/>
        <v>0</v>
      </c>
      <c r="I25" s="993"/>
      <c r="J25" s="332">
        <f t="shared" si="0"/>
        <v>18</v>
      </c>
    </row>
    <row r="26" spans="1:10">
      <c r="A26" s="61" t="s">
        <v>136</v>
      </c>
      <c r="B26" s="976"/>
      <c r="C26" s="976"/>
      <c r="D26" s="68" t="s">
        <v>164</v>
      </c>
      <c r="E26" s="69"/>
      <c r="F26" s="978"/>
      <c r="G26" s="978"/>
      <c r="H26" s="993">
        <f t="shared" si="2"/>
        <v>0</v>
      </c>
      <c r="I26" s="993"/>
      <c r="J26" s="332">
        <f t="shared" si="0"/>
        <v>19</v>
      </c>
    </row>
    <row r="27" spans="1:10">
      <c r="A27" s="61" t="s">
        <v>137</v>
      </c>
      <c r="B27" s="976"/>
      <c r="C27" s="976"/>
      <c r="D27" s="68" t="s">
        <v>165</v>
      </c>
      <c r="E27" s="69"/>
      <c r="F27" s="978"/>
      <c r="G27" s="978"/>
      <c r="H27" s="993">
        <f t="shared" si="2"/>
        <v>0</v>
      </c>
      <c r="I27" s="993"/>
      <c r="J27" s="332">
        <f t="shared" si="0"/>
        <v>20</v>
      </c>
    </row>
    <row r="28" spans="1:10">
      <c r="A28" s="61" t="s">
        <v>138</v>
      </c>
      <c r="B28" s="976"/>
      <c r="C28" s="976"/>
      <c r="D28" s="68" t="s">
        <v>165</v>
      </c>
      <c r="E28" s="69"/>
      <c r="F28" s="978"/>
      <c r="G28" s="978"/>
      <c r="H28" s="993">
        <f t="shared" si="2"/>
        <v>0</v>
      </c>
      <c r="I28" s="993"/>
      <c r="J28" s="332">
        <f t="shared" si="0"/>
        <v>21</v>
      </c>
    </row>
    <row r="29" spans="1:10">
      <c r="A29" s="61" t="s">
        <v>139</v>
      </c>
      <c r="B29" s="976"/>
      <c r="C29" s="976"/>
      <c r="D29" s="68" t="s">
        <v>165</v>
      </c>
      <c r="E29" s="69"/>
      <c r="F29" s="978"/>
      <c r="G29" s="978"/>
      <c r="H29" s="993">
        <f t="shared" si="2"/>
        <v>0</v>
      </c>
      <c r="I29" s="993"/>
      <c r="J29" s="332">
        <f t="shared" si="0"/>
        <v>22</v>
      </c>
    </row>
    <row r="30" spans="1:10" ht="13.9" customHeight="1">
      <c r="A30" s="63">
        <v>4</v>
      </c>
      <c r="B30" s="990" t="s">
        <v>140</v>
      </c>
      <c r="C30" s="990"/>
      <c r="D30" s="64"/>
      <c r="E30" s="65"/>
      <c r="F30" s="1001"/>
      <c r="G30" s="1001"/>
      <c r="H30" s="1000"/>
      <c r="I30" s="1000"/>
      <c r="J30" s="332">
        <f t="shared" si="0"/>
        <v>23</v>
      </c>
    </row>
    <row r="31" spans="1:10">
      <c r="A31" s="61" t="s">
        <v>141</v>
      </c>
      <c r="B31" s="976"/>
      <c r="C31" s="976"/>
      <c r="D31" s="68" t="s">
        <v>162</v>
      </c>
      <c r="E31" s="69"/>
      <c r="F31" s="978"/>
      <c r="G31" s="978"/>
      <c r="H31" s="993">
        <f>ROUND(E31*F31,0)</f>
        <v>0</v>
      </c>
      <c r="I31" s="993"/>
      <c r="J31" s="332">
        <f t="shared" si="0"/>
        <v>24</v>
      </c>
    </row>
    <row r="32" spans="1:10">
      <c r="A32" s="61" t="s">
        <v>142</v>
      </c>
      <c r="B32" s="976"/>
      <c r="C32" s="976"/>
      <c r="D32" s="68" t="s">
        <v>162</v>
      </c>
      <c r="E32" s="69"/>
      <c r="F32" s="978"/>
      <c r="G32" s="978"/>
      <c r="H32" s="993">
        <f t="shared" ref="H32:H38" si="3">ROUND(E32*F32,0)</f>
        <v>0</v>
      </c>
      <c r="I32" s="993"/>
      <c r="J32" s="332">
        <f t="shared" si="0"/>
        <v>25</v>
      </c>
    </row>
    <row r="33" spans="1:10">
      <c r="A33" s="61" t="s">
        <v>143</v>
      </c>
      <c r="B33" s="976"/>
      <c r="C33" s="976"/>
      <c r="D33" s="68" t="s">
        <v>162</v>
      </c>
      <c r="E33" s="69"/>
      <c r="F33" s="978"/>
      <c r="G33" s="978"/>
      <c r="H33" s="993">
        <f t="shared" si="3"/>
        <v>0</v>
      </c>
      <c r="I33" s="993"/>
      <c r="J33" s="332">
        <f t="shared" si="0"/>
        <v>26</v>
      </c>
    </row>
    <row r="34" spans="1:10">
      <c r="A34" s="61" t="s">
        <v>144</v>
      </c>
      <c r="B34" s="976"/>
      <c r="C34" s="976"/>
      <c r="D34" s="68" t="s">
        <v>162</v>
      </c>
      <c r="E34" s="69"/>
      <c r="F34" s="978"/>
      <c r="G34" s="978"/>
      <c r="H34" s="993">
        <f t="shared" si="3"/>
        <v>0</v>
      </c>
      <c r="I34" s="993"/>
      <c r="J34" s="332">
        <f t="shared" si="0"/>
        <v>27</v>
      </c>
    </row>
    <row r="35" spans="1:10">
      <c r="A35" s="61" t="s">
        <v>145</v>
      </c>
      <c r="B35" s="976"/>
      <c r="C35" s="976"/>
      <c r="D35" s="68" t="s">
        <v>162</v>
      </c>
      <c r="E35" s="69"/>
      <c r="F35" s="978"/>
      <c r="G35" s="978"/>
      <c r="H35" s="993">
        <f t="shared" si="3"/>
        <v>0</v>
      </c>
      <c r="I35" s="993"/>
      <c r="J35" s="332">
        <f t="shared" si="0"/>
        <v>28</v>
      </c>
    </row>
    <row r="36" spans="1:10">
      <c r="A36" s="61" t="s">
        <v>146</v>
      </c>
      <c r="B36" s="976"/>
      <c r="C36" s="976"/>
      <c r="D36" s="68" t="s">
        <v>164</v>
      </c>
      <c r="E36" s="69"/>
      <c r="F36" s="978"/>
      <c r="G36" s="978"/>
      <c r="H36" s="993">
        <f t="shared" si="3"/>
        <v>0</v>
      </c>
      <c r="I36" s="993"/>
      <c r="J36" s="332">
        <f t="shared" si="0"/>
        <v>29</v>
      </c>
    </row>
    <row r="37" spans="1:10">
      <c r="A37" s="61" t="s">
        <v>147</v>
      </c>
      <c r="B37" s="976"/>
      <c r="C37" s="976"/>
      <c r="D37" s="68" t="s">
        <v>165</v>
      </c>
      <c r="E37" s="69"/>
      <c r="F37" s="978"/>
      <c r="G37" s="978"/>
      <c r="H37" s="993">
        <f t="shared" si="3"/>
        <v>0</v>
      </c>
      <c r="I37" s="993"/>
      <c r="J37" s="332">
        <f t="shared" si="0"/>
        <v>30</v>
      </c>
    </row>
    <row r="38" spans="1:10">
      <c r="A38" s="61" t="s">
        <v>148</v>
      </c>
      <c r="B38" s="976"/>
      <c r="C38" s="976"/>
      <c r="D38" s="68" t="s">
        <v>165</v>
      </c>
      <c r="E38" s="69"/>
      <c r="F38" s="978"/>
      <c r="G38" s="978"/>
      <c r="H38" s="993">
        <f t="shared" si="3"/>
        <v>0</v>
      </c>
      <c r="I38" s="993"/>
      <c r="J38" s="332">
        <f t="shared" si="0"/>
        <v>31</v>
      </c>
    </row>
    <row r="39" spans="1:10" ht="13.9" customHeight="1">
      <c r="A39" s="63">
        <v>5</v>
      </c>
      <c r="B39" s="990" t="s">
        <v>149</v>
      </c>
      <c r="C39" s="990"/>
      <c r="D39" s="64"/>
      <c r="E39" s="65"/>
      <c r="F39" s="1001"/>
      <c r="G39" s="1001"/>
      <c r="H39" s="1000"/>
      <c r="I39" s="1000"/>
      <c r="J39" s="332">
        <f t="shared" si="0"/>
        <v>32</v>
      </c>
    </row>
    <row r="40" spans="1:10">
      <c r="A40" s="61" t="s">
        <v>150</v>
      </c>
      <c r="B40" s="976"/>
      <c r="C40" s="976"/>
      <c r="D40" s="68" t="s">
        <v>165</v>
      </c>
      <c r="E40" s="69"/>
      <c r="F40" s="978"/>
      <c r="G40" s="978"/>
      <c r="H40" s="993">
        <f t="shared" ref="H40" si="4">ROUND(E40*F40,0)</f>
        <v>0</v>
      </c>
      <c r="I40" s="993"/>
      <c r="J40" s="332">
        <f t="shared" si="0"/>
        <v>33</v>
      </c>
    </row>
    <row r="41" spans="1:10">
      <c r="A41" s="61" t="s">
        <v>151</v>
      </c>
      <c r="B41" s="976"/>
      <c r="C41" s="976"/>
      <c r="D41" s="68" t="s">
        <v>164</v>
      </c>
      <c r="E41" s="69"/>
      <c r="F41" s="978"/>
      <c r="G41" s="978"/>
      <c r="H41" s="993">
        <f t="shared" ref="H41:H45" si="5">ROUND(E41*F41,0)</f>
        <v>0</v>
      </c>
      <c r="I41" s="993"/>
      <c r="J41" s="332">
        <f t="shared" si="0"/>
        <v>34</v>
      </c>
    </row>
    <row r="42" spans="1:10">
      <c r="A42" s="61" t="s">
        <v>152</v>
      </c>
      <c r="B42" s="976"/>
      <c r="C42" s="976"/>
      <c r="D42" s="68" t="s">
        <v>164</v>
      </c>
      <c r="E42" s="69"/>
      <c r="F42" s="978"/>
      <c r="G42" s="978"/>
      <c r="H42" s="993">
        <f t="shared" si="5"/>
        <v>0</v>
      </c>
      <c r="I42" s="993"/>
      <c r="J42" s="332">
        <f t="shared" si="0"/>
        <v>35</v>
      </c>
    </row>
    <row r="43" spans="1:10">
      <c r="A43" s="61" t="s">
        <v>153</v>
      </c>
      <c r="B43" s="976"/>
      <c r="C43" s="976"/>
      <c r="D43" s="68" t="s">
        <v>164</v>
      </c>
      <c r="E43" s="69"/>
      <c r="F43" s="978"/>
      <c r="G43" s="978"/>
      <c r="H43" s="993">
        <f t="shared" si="5"/>
        <v>0</v>
      </c>
      <c r="I43" s="993"/>
      <c r="J43" s="332">
        <f t="shared" si="0"/>
        <v>36</v>
      </c>
    </row>
    <row r="44" spans="1:10">
      <c r="A44" s="61" t="s">
        <v>154</v>
      </c>
      <c r="B44" s="976"/>
      <c r="C44" s="976"/>
      <c r="D44" s="68" t="s">
        <v>164</v>
      </c>
      <c r="E44" s="69"/>
      <c r="F44" s="978"/>
      <c r="G44" s="978"/>
      <c r="H44" s="993">
        <f t="shared" si="5"/>
        <v>0</v>
      </c>
      <c r="I44" s="993"/>
      <c r="J44" s="332">
        <f t="shared" si="0"/>
        <v>37</v>
      </c>
    </row>
    <row r="45" spans="1:10">
      <c r="A45" s="61" t="s">
        <v>155</v>
      </c>
      <c r="B45" s="976"/>
      <c r="C45" s="976"/>
      <c r="D45" s="68" t="s">
        <v>164</v>
      </c>
      <c r="E45" s="69"/>
      <c r="F45" s="978"/>
      <c r="G45" s="978"/>
      <c r="H45" s="993">
        <f t="shared" si="5"/>
        <v>0</v>
      </c>
      <c r="I45" s="993"/>
      <c r="J45" s="332">
        <f t="shared" si="0"/>
        <v>38</v>
      </c>
    </row>
    <row r="46" spans="1:10" ht="13.9" customHeight="1">
      <c r="A46" s="63">
        <v>6</v>
      </c>
      <c r="B46" s="990" t="s">
        <v>156</v>
      </c>
      <c r="C46" s="990"/>
      <c r="D46" s="64"/>
      <c r="E46" s="65"/>
      <c r="F46" s="1001"/>
      <c r="G46" s="1001"/>
      <c r="H46" s="1000"/>
      <c r="I46" s="1000"/>
      <c r="J46" s="332">
        <f t="shared" si="0"/>
        <v>39</v>
      </c>
    </row>
    <row r="47" spans="1:10">
      <c r="A47" s="61" t="s">
        <v>157</v>
      </c>
      <c r="B47" s="976"/>
      <c r="C47" s="976"/>
      <c r="D47" s="68" t="s">
        <v>163</v>
      </c>
      <c r="E47" s="69"/>
      <c r="F47" s="978"/>
      <c r="G47" s="978"/>
      <c r="H47" s="993">
        <f t="shared" ref="H47" si="6">ROUND(E47*F47,0)</f>
        <v>0</v>
      </c>
      <c r="I47" s="993"/>
      <c r="J47" s="332">
        <f t="shared" si="0"/>
        <v>40</v>
      </c>
    </row>
    <row r="48" spans="1:10">
      <c r="A48" s="61" t="s">
        <v>158</v>
      </c>
      <c r="B48" s="976"/>
      <c r="C48" s="976"/>
      <c r="D48" s="68" t="s">
        <v>165</v>
      </c>
      <c r="E48" s="69"/>
      <c r="F48" s="978"/>
      <c r="G48" s="978"/>
      <c r="H48" s="993">
        <f t="shared" ref="H48:H51" si="7">ROUND(E48*F48,0)</f>
        <v>0</v>
      </c>
      <c r="I48" s="993"/>
      <c r="J48" s="332">
        <f t="shared" si="0"/>
        <v>41</v>
      </c>
    </row>
    <row r="49" spans="1:10">
      <c r="A49" s="61" t="s">
        <v>159</v>
      </c>
      <c r="B49" s="976"/>
      <c r="C49" s="976"/>
      <c r="D49" s="68" t="s">
        <v>163</v>
      </c>
      <c r="E49" s="69"/>
      <c r="F49" s="978"/>
      <c r="G49" s="978"/>
      <c r="H49" s="993">
        <f t="shared" si="7"/>
        <v>0</v>
      </c>
      <c r="I49" s="993"/>
      <c r="J49" s="332">
        <f t="shared" si="0"/>
        <v>42</v>
      </c>
    </row>
    <row r="50" spans="1:10">
      <c r="A50" s="61" t="s">
        <v>160</v>
      </c>
      <c r="B50" s="976"/>
      <c r="C50" s="976"/>
      <c r="D50" s="68" t="s">
        <v>162</v>
      </c>
      <c r="E50" s="69"/>
      <c r="F50" s="978"/>
      <c r="G50" s="978"/>
      <c r="H50" s="993">
        <f t="shared" si="7"/>
        <v>0</v>
      </c>
      <c r="I50" s="993"/>
      <c r="J50" s="332">
        <f t="shared" si="0"/>
        <v>43</v>
      </c>
    </row>
    <row r="51" spans="1:10" ht="15" thickBot="1">
      <c r="A51" s="61" t="s">
        <v>161</v>
      </c>
      <c r="B51" s="976"/>
      <c r="C51" s="976"/>
      <c r="D51" s="68" t="s">
        <v>163</v>
      </c>
      <c r="E51" s="69"/>
      <c r="F51" s="978"/>
      <c r="G51" s="978"/>
      <c r="H51" s="993">
        <f t="shared" si="7"/>
        <v>0</v>
      </c>
      <c r="I51" s="993"/>
      <c r="J51" s="332">
        <f t="shared" si="0"/>
        <v>44</v>
      </c>
    </row>
    <row r="52" spans="1:10" ht="15" thickBot="1">
      <c r="A52" s="334"/>
      <c r="B52" s="335" t="s">
        <v>1148</v>
      </c>
      <c r="C52" s="336"/>
      <c r="D52" s="336"/>
      <c r="E52" s="337"/>
      <c r="F52" s="985"/>
      <c r="G52" s="985"/>
      <c r="H52" s="981">
        <f>SUM(H10:I51)</f>
        <v>0</v>
      </c>
      <c r="I52" s="982"/>
      <c r="J52" s="332"/>
    </row>
    <row r="53" spans="1:10">
      <c r="A53" s="997"/>
      <c r="B53" s="1010" t="s">
        <v>174</v>
      </c>
      <c r="C53" s="1010"/>
      <c r="D53" s="338">
        <f>DATOS!E184</f>
        <v>18.5</v>
      </c>
      <c r="E53" s="339" t="s">
        <v>296</v>
      </c>
      <c r="F53" s="983"/>
      <c r="G53" s="983"/>
      <c r="H53" s="983">
        <f>ROUND($H$52*D53/100,0)</f>
        <v>0</v>
      </c>
      <c r="I53" s="984"/>
      <c r="J53" s="332"/>
    </row>
    <row r="54" spans="1:10">
      <c r="A54" s="998"/>
      <c r="B54" s="988" t="s">
        <v>166</v>
      </c>
      <c r="C54" s="988"/>
      <c r="D54" s="340">
        <f>DATOS!E186</f>
        <v>5</v>
      </c>
      <c r="E54" s="341" t="s">
        <v>296</v>
      </c>
      <c r="F54" s="1002"/>
      <c r="G54" s="1002"/>
      <c r="H54" s="983">
        <f>ROUND($H$52*D54/100,0)</f>
        <v>0</v>
      </c>
      <c r="I54" s="984"/>
      <c r="J54" s="332"/>
    </row>
    <row r="55" spans="1:10" ht="15" thickBot="1">
      <c r="A55" s="999"/>
      <c r="B55" s="995" t="s">
        <v>167</v>
      </c>
      <c r="C55" s="995"/>
      <c r="D55" s="342">
        <f>DATOS!E188</f>
        <v>8</v>
      </c>
      <c r="E55" s="343" t="s">
        <v>296</v>
      </c>
      <c r="F55" s="1003"/>
      <c r="G55" s="1003"/>
      <c r="H55" s="983">
        <f>ROUND($H$52*D55/100,0)</f>
        <v>0</v>
      </c>
      <c r="I55" s="984"/>
      <c r="J55" s="332"/>
    </row>
    <row r="56" spans="1:10" ht="15" thickBot="1">
      <c r="A56" s="334"/>
      <c r="B56" s="335" t="s">
        <v>324</v>
      </c>
      <c r="C56" s="336"/>
      <c r="D56" s="336"/>
      <c r="E56" s="337"/>
      <c r="F56" s="985"/>
      <c r="G56" s="985"/>
      <c r="H56" s="981">
        <f>SUM(H53:I55)</f>
        <v>0</v>
      </c>
      <c r="I56" s="982"/>
      <c r="J56" s="332"/>
    </row>
    <row r="57" spans="1:10" ht="15" thickBot="1">
      <c r="A57" s="344"/>
      <c r="B57" s="989"/>
      <c r="C57" s="989"/>
      <c r="D57" s="344"/>
      <c r="E57" s="345"/>
      <c r="F57" s="996"/>
      <c r="G57" s="996"/>
      <c r="H57" s="991"/>
      <c r="I57" s="991"/>
      <c r="J57" s="332"/>
    </row>
    <row r="58" spans="1:10" ht="15" thickBot="1">
      <c r="A58" s="334"/>
      <c r="B58" s="335" t="s">
        <v>325</v>
      </c>
      <c r="C58" s="336"/>
      <c r="D58" s="336"/>
      <c r="E58" s="337"/>
      <c r="F58" s="985"/>
      <c r="G58" s="985"/>
      <c r="H58" s="981">
        <f>H52+H56</f>
        <v>0</v>
      </c>
      <c r="I58" s="982"/>
      <c r="J58" s="332"/>
    </row>
    <row r="59" spans="1:10">
      <c r="A59" s="73"/>
      <c r="B59" s="1009"/>
      <c r="C59" s="1009"/>
      <c r="D59" s="76"/>
      <c r="E59" s="75"/>
      <c r="F59" s="994"/>
      <c r="G59" s="994"/>
      <c r="H59" s="992"/>
      <c r="I59" s="992"/>
      <c r="J59" s="332"/>
    </row>
    <row r="60" spans="1:10">
      <c r="A60" s="61"/>
      <c r="B60" s="976"/>
      <c r="C60" s="976"/>
      <c r="D60" s="70"/>
      <c r="E60" s="71"/>
      <c r="F60" s="978"/>
      <c r="G60" s="978"/>
      <c r="H60" s="980"/>
      <c r="I60" s="980"/>
      <c r="J60" s="332">
        <v>45</v>
      </c>
    </row>
    <row r="61" spans="1:10" ht="13.9" customHeight="1">
      <c r="A61" s="80">
        <v>7</v>
      </c>
      <c r="B61" s="1013" t="s">
        <v>168</v>
      </c>
      <c r="C61" s="1013" t="s">
        <v>168</v>
      </c>
      <c r="D61" s="70"/>
      <c r="E61" s="71"/>
      <c r="F61" s="978"/>
      <c r="G61" s="978"/>
      <c r="H61" s="980"/>
      <c r="I61" s="980"/>
      <c r="J61" s="332">
        <f t="shared" ref="J61:J66" si="8">J60+1</f>
        <v>46</v>
      </c>
    </row>
    <row r="62" spans="1:10">
      <c r="A62" s="61" t="s">
        <v>175</v>
      </c>
      <c r="B62" s="976" t="s">
        <v>169</v>
      </c>
      <c r="C62" s="976"/>
      <c r="D62" s="68" t="s">
        <v>162</v>
      </c>
      <c r="E62" s="69"/>
      <c r="F62" s="978"/>
      <c r="G62" s="978"/>
      <c r="H62" s="993">
        <f t="shared" ref="H62" si="9">ROUND(E62*F62,0)</f>
        <v>0</v>
      </c>
      <c r="I62" s="993"/>
      <c r="J62" s="332">
        <f t="shared" si="8"/>
        <v>47</v>
      </c>
    </row>
    <row r="63" spans="1:10">
      <c r="A63" s="61" t="s">
        <v>176</v>
      </c>
      <c r="B63" s="976" t="s">
        <v>170</v>
      </c>
      <c r="C63" s="976"/>
      <c r="D63" s="68" t="s">
        <v>162</v>
      </c>
      <c r="E63" s="69"/>
      <c r="F63" s="978"/>
      <c r="G63" s="978"/>
      <c r="H63" s="993">
        <f t="shared" ref="H63:H66" si="10">ROUND(E63*F63,0)</f>
        <v>0</v>
      </c>
      <c r="I63" s="993"/>
      <c r="J63" s="332">
        <f t="shared" si="8"/>
        <v>48</v>
      </c>
    </row>
    <row r="64" spans="1:10">
      <c r="A64" s="72" t="s">
        <v>177</v>
      </c>
      <c r="B64" s="976" t="s">
        <v>171</v>
      </c>
      <c r="C64" s="976"/>
      <c r="D64" s="68" t="s">
        <v>162</v>
      </c>
      <c r="E64" s="69"/>
      <c r="F64" s="978"/>
      <c r="G64" s="978"/>
      <c r="H64" s="993">
        <f t="shared" si="10"/>
        <v>0</v>
      </c>
      <c r="I64" s="993"/>
      <c r="J64" s="332">
        <f t="shared" si="8"/>
        <v>49</v>
      </c>
    </row>
    <row r="65" spans="1:10">
      <c r="A65" s="72" t="s">
        <v>178</v>
      </c>
      <c r="B65" s="976" t="s">
        <v>172</v>
      </c>
      <c r="C65" s="976"/>
      <c r="D65" s="68" t="s">
        <v>162</v>
      </c>
      <c r="E65" s="69"/>
      <c r="F65" s="978"/>
      <c r="G65" s="978"/>
      <c r="H65" s="993">
        <f t="shared" si="10"/>
        <v>0</v>
      </c>
      <c r="I65" s="993"/>
      <c r="J65" s="332">
        <f t="shared" si="8"/>
        <v>50</v>
      </c>
    </row>
    <row r="66" spans="1:10" ht="15" thickBot="1">
      <c r="A66" s="72" t="s">
        <v>179</v>
      </c>
      <c r="B66" s="976" t="s">
        <v>173</v>
      </c>
      <c r="C66" s="976"/>
      <c r="D66" s="68" t="s">
        <v>162</v>
      </c>
      <c r="E66" s="69"/>
      <c r="F66" s="978"/>
      <c r="G66" s="978"/>
      <c r="H66" s="993">
        <f t="shared" si="10"/>
        <v>0</v>
      </c>
      <c r="I66" s="993"/>
      <c r="J66" s="332">
        <f t="shared" si="8"/>
        <v>51</v>
      </c>
    </row>
    <row r="67" spans="1:10" ht="15" thickBot="1">
      <c r="A67" s="334"/>
      <c r="B67" s="335" t="s">
        <v>326</v>
      </c>
      <c r="C67" s="336"/>
      <c r="D67" s="336"/>
      <c r="E67" s="337"/>
      <c r="F67" s="985"/>
      <c r="G67" s="985"/>
      <c r="H67" s="981">
        <f>SUM(H62:I66)</f>
        <v>0</v>
      </c>
      <c r="I67" s="982"/>
      <c r="J67" s="332"/>
    </row>
    <row r="68" spans="1:10" ht="15" thickBot="1">
      <c r="A68" s="346"/>
      <c r="B68" s="988" t="s">
        <v>174</v>
      </c>
      <c r="C68" s="988"/>
      <c r="D68" s="338">
        <f>DATOS!E192</f>
        <v>18.5</v>
      </c>
      <c r="E68" s="341" t="s">
        <v>296</v>
      </c>
      <c r="F68" s="1002"/>
      <c r="G68" s="1002"/>
      <c r="H68" s="983">
        <f>ROUND($H$67*D68/100,0)</f>
        <v>0</v>
      </c>
      <c r="I68" s="984"/>
      <c r="J68" s="332"/>
    </row>
    <row r="69" spans="1:10" ht="15" thickBot="1">
      <c r="A69" s="334"/>
      <c r="B69" s="335" t="s">
        <v>327</v>
      </c>
      <c r="C69" s="336"/>
      <c r="D69" s="336"/>
      <c r="E69" s="337"/>
      <c r="F69" s="985"/>
      <c r="G69" s="985"/>
      <c r="H69" s="981">
        <f>H68</f>
        <v>0</v>
      </c>
      <c r="I69" s="982"/>
      <c r="J69" s="332"/>
    </row>
    <row r="70" spans="1:10" ht="15" thickBot="1">
      <c r="A70" s="344"/>
      <c r="B70" s="989"/>
      <c r="C70" s="989"/>
      <c r="D70" s="344"/>
      <c r="E70" s="345"/>
      <c r="F70" s="996"/>
      <c r="G70" s="996"/>
      <c r="H70" s="991"/>
      <c r="I70" s="991"/>
      <c r="J70" s="332"/>
    </row>
    <row r="71" spans="1:10" ht="15" thickBot="1">
      <c r="A71" s="334"/>
      <c r="B71" s="335" t="s">
        <v>328</v>
      </c>
      <c r="C71" s="336"/>
      <c r="D71" s="336"/>
      <c r="E71" s="337"/>
      <c r="F71" s="985"/>
      <c r="G71" s="985"/>
      <c r="H71" s="981">
        <f>H67+H69</f>
        <v>0</v>
      </c>
      <c r="I71" s="982"/>
      <c r="J71" s="332"/>
    </row>
    <row r="72" spans="1:10" ht="28.9" customHeight="1" thickBot="1">
      <c r="A72" s="61"/>
      <c r="B72" s="976"/>
      <c r="C72" s="976"/>
      <c r="D72" s="77"/>
      <c r="E72" s="71"/>
      <c r="F72" s="978"/>
      <c r="G72" s="978"/>
      <c r="H72" s="980"/>
      <c r="I72" s="980"/>
      <c r="J72" s="332"/>
    </row>
    <row r="73" spans="1:10" ht="15" thickBot="1">
      <c r="A73" s="334"/>
      <c r="B73" s="335" t="s">
        <v>325</v>
      </c>
      <c r="C73" s="336"/>
      <c r="D73" s="336"/>
      <c r="E73" s="337"/>
      <c r="F73" s="985"/>
      <c r="G73" s="985"/>
      <c r="H73" s="981">
        <f>H58</f>
        <v>0</v>
      </c>
      <c r="I73" s="982"/>
      <c r="J73" s="332"/>
    </row>
    <row r="74" spans="1:10" ht="6.6" customHeight="1" thickBot="1">
      <c r="A74" s="347"/>
      <c r="B74" s="977"/>
      <c r="C74" s="977"/>
      <c r="D74" s="348"/>
      <c r="E74" s="349"/>
      <c r="F74" s="1002"/>
      <c r="G74" s="1002"/>
      <c r="H74" s="1004"/>
      <c r="I74" s="1004"/>
      <c r="J74" s="332"/>
    </row>
    <row r="75" spans="1:10" ht="15" thickBot="1">
      <c r="A75" s="350"/>
      <c r="B75" s="335" t="s">
        <v>328</v>
      </c>
      <c r="C75" s="336"/>
      <c r="D75" s="336"/>
      <c r="E75" s="337"/>
      <c r="F75" s="985"/>
      <c r="G75" s="985"/>
      <c r="H75" s="981">
        <f>H71</f>
        <v>0</v>
      </c>
      <c r="I75" s="982"/>
      <c r="J75" s="332"/>
    </row>
    <row r="76" spans="1:10" ht="7.15" customHeight="1" thickBot="1">
      <c r="A76" s="351"/>
      <c r="B76" s="979"/>
      <c r="C76" s="979"/>
      <c r="D76" s="352"/>
      <c r="E76" s="353"/>
      <c r="F76" s="986"/>
      <c r="G76" s="986"/>
      <c r="H76" s="1005"/>
      <c r="I76" s="1006"/>
      <c r="J76" s="332"/>
    </row>
    <row r="77" spans="1:10" ht="20.45" customHeight="1" thickBot="1">
      <c r="A77" s="354"/>
      <c r="B77" s="355" t="s">
        <v>117</v>
      </c>
      <c r="C77" s="356"/>
      <c r="D77" s="356"/>
      <c r="E77" s="357"/>
      <c r="F77" s="987"/>
      <c r="G77" s="987"/>
      <c r="H77" s="1007">
        <f>H73+H75</f>
        <v>0</v>
      </c>
      <c r="I77" s="1008"/>
      <c r="J77" s="332"/>
    </row>
    <row r="78" spans="1:10">
      <c r="A78" s="74"/>
      <c r="B78" s="976"/>
      <c r="C78" s="976"/>
      <c r="D78" s="77"/>
      <c r="E78" s="71"/>
      <c r="F78" s="978"/>
      <c r="G78" s="978"/>
      <c r="H78" s="980"/>
      <c r="I78" s="980"/>
      <c r="J78" s="332"/>
    </row>
    <row r="79" spans="1:10">
      <c r="A79" s="61"/>
      <c r="B79" s="976"/>
      <c r="C79" s="976"/>
      <c r="D79" s="77"/>
      <c r="E79" s="71"/>
      <c r="F79" s="978"/>
      <c r="G79" s="978"/>
      <c r="H79" s="980"/>
      <c r="I79" s="980"/>
      <c r="J79" s="332"/>
    </row>
    <row r="80" spans="1:10">
      <c r="A80" s="61"/>
      <c r="B80" s="976"/>
      <c r="C80" s="976"/>
      <c r="D80" s="77"/>
      <c r="E80" s="71"/>
      <c r="F80" s="978"/>
      <c r="G80" s="978"/>
      <c r="H80" s="980"/>
      <c r="I80" s="980"/>
      <c r="J80" s="332"/>
    </row>
    <row r="81" spans="1:10">
      <c r="A81" s="61"/>
      <c r="B81" s="976"/>
      <c r="C81" s="976"/>
      <c r="D81" s="77"/>
      <c r="E81" s="71"/>
      <c r="F81" s="978"/>
      <c r="G81" s="978"/>
      <c r="H81" s="980"/>
      <c r="I81" s="980"/>
      <c r="J81" s="332"/>
    </row>
    <row r="82" spans="1:10">
      <c r="A82" s="61"/>
      <c r="B82" s="976"/>
      <c r="C82" s="976"/>
      <c r="D82" s="77"/>
      <c r="E82" s="71"/>
      <c r="F82" s="978"/>
      <c r="G82" s="978"/>
      <c r="H82" s="980"/>
      <c r="I82" s="980"/>
      <c r="J82" s="332"/>
    </row>
    <row r="83" spans="1:10">
      <c r="A83" s="61"/>
      <c r="B83" s="976"/>
      <c r="C83" s="976"/>
      <c r="D83" s="77"/>
      <c r="E83" s="71"/>
      <c r="F83" s="978"/>
      <c r="G83" s="978"/>
      <c r="H83" s="980"/>
      <c r="I83" s="980"/>
      <c r="J83" s="332"/>
    </row>
    <row r="84" spans="1:10">
      <c r="A84" s="61"/>
      <c r="B84" s="976"/>
      <c r="C84" s="976"/>
      <c r="D84" s="77"/>
      <c r="E84" s="71"/>
      <c r="F84" s="978"/>
      <c r="G84" s="978"/>
      <c r="H84" s="980"/>
      <c r="I84" s="980"/>
      <c r="J84" s="332"/>
    </row>
    <row r="85" spans="1:10">
      <c r="A85" s="61"/>
      <c r="B85" s="976"/>
      <c r="C85" s="976"/>
      <c r="D85" s="77"/>
      <c r="E85" s="71"/>
      <c r="F85" s="978"/>
      <c r="G85" s="978"/>
      <c r="H85" s="980"/>
      <c r="I85" s="980"/>
      <c r="J85" s="332"/>
    </row>
    <row r="86" spans="1:10">
      <c r="A86" s="61"/>
      <c r="B86" s="976"/>
      <c r="C86" s="976"/>
      <c r="D86" s="77"/>
      <c r="E86" s="71"/>
      <c r="F86" s="978"/>
      <c r="G86" s="978"/>
      <c r="H86" s="980"/>
      <c r="I86" s="980"/>
      <c r="J86" s="332"/>
    </row>
    <row r="87" spans="1:10">
      <c r="A87" s="61"/>
      <c r="B87" s="976"/>
      <c r="C87" s="976"/>
      <c r="D87" s="77"/>
      <c r="E87" s="71"/>
      <c r="F87" s="978"/>
      <c r="G87" s="978"/>
      <c r="H87" s="980"/>
      <c r="I87" s="980"/>
      <c r="J87" s="332"/>
    </row>
    <row r="88" spans="1:10">
      <c r="A88" s="61"/>
      <c r="B88" s="976"/>
      <c r="C88" s="976"/>
      <c r="D88" s="77"/>
      <c r="E88" s="71"/>
      <c r="F88" s="978"/>
      <c r="G88" s="978"/>
      <c r="H88" s="980"/>
      <c r="I88" s="980"/>
      <c r="J88" s="332"/>
    </row>
    <row r="89" spans="1:10">
      <c r="A89" s="61"/>
      <c r="B89" s="976"/>
      <c r="C89" s="976"/>
      <c r="D89" s="77"/>
      <c r="E89" s="71"/>
      <c r="F89" s="978"/>
      <c r="G89" s="978"/>
      <c r="H89" s="980"/>
      <c r="I89" s="980"/>
      <c r="J89" s="332"/>
    </row>
    <row r="90" spans="1:10">
      <c r="A90" s="61"/>
      <c r="B90" s="976"/>
      <c r="C90" s="976"/>
      <c r="D90" s="77"/>
      <c r="E90" s="71"/>
      <c r="F90" s="978"/>
      <c r="G90" s="978"/>
      <c r="H90" s="980"/>
      <c r="I90" s="980"/>
      <c r="J90" s="332"/>
    </row>
    <row r="91" spans="1:10">
      <c r="A91" s="61"/>
      <c r="B91" s="976"/>
      <c r="C91" s="976"/>
      <c r="D91" s="77"/>
      <c r="E91" s="71"/>
      <c r="F91" s="978"/>
      <c r="G91" s="978"/>
      <c r="H91" s="980"/>
      <c r="I91" s="980"/>
      <c r="J91" s="332"/>
    </row>
    <row r="92" spans="1:10">
      <c r="A92" s="61"/>
      <c r="B92" s="976"/>
      <c r="C92" s="976"/>
      <c r="D92" s="77"/>
      <c r="E92" s="71"/>
      <c r="F92" s="978"/>
      <c r="G92" s="978"/>
      <c r="H92" s="980"/>
      <c r="I92" s="980"/>
      <c r="J92" s="332"/>
    </row>
    <row r="93" spans="1:10">
      <c r="A93" s="61"/>
      <c r="B93" s="976"/>
      <c r="C93" s="976"/>
      <c r="D93" s="77"/>
      <c r="E93" s="71"/>
      <c r="F93" s="978"/>
      <c r="G93" s="978"/>
      <c r="H93" s="980"/>
      <c r="I93" s="980"/>
      <c r="J93" s="332"/>
    </row>
    <row r="94" spans="1:10">
      <c r="A94" s="61"/>
      <c r="B94" s="976"/>
      <c r="C94" s="976"/>
      <c r="D94" s="77"/>
      <c r="E94" s="71"/>
      <c r="F94" s="978"/>
      <c r="G94" s="978"/>
      <c r="H94" s="980"/>
      <c r="I94" s="980"/>
      <c r="J94" s="332"/>
    </row>
    <row r="95" spans="1:10">
      <c r="A95" s="61"/>
      <c r="B95" s="976"/>
      <c r="C95" s="976"/>
      <c r="D95" s="77"/>
      <c r="E95" s="71"/>
      <c r="F95" s="978"/>
      <c r="G95" s="978"/>
      <c r="H95" s="980"/>
      <c r="I95" s="980"/>
      <c r="J95" s="332"/>
    </row>
    <row r="96" spans="1:10">
      <c r="A96" s="61"/>
      <c r="B96" s="976"/>
      <c r="C96" s="976"/>
      <c r="D96" s="77"/>
      <c r="E96" s="71"/>
      <c r="F96" s="978"/>
      <c r="G96" s="978"/>
      <c r="H96" s="980"/>
      <c r="I96" s="980"/>
      <c r="J96" s="332"/>
    </row>
    <row r="97" spans="1:10">
      <c r="A97" s="61"/>
      <c r="B97" s="976"/>
      <c r="C97" s="976"/>
      <c r="D97" s="77"/>
      <c r="E97" s="71"/>
      <c r="F97" s="978"/>
      <c r="G97" s="978"/>
      <c r="H97" s="980"/>
      <c r="I97" s="980"/>
      <c r="J97" s="332"/>
    </row>
    <row r="98" spans="1:10">
      <c r="A98" s="61"/>
      <c r="B98" s="976"/>
      <c r="C98" s="976"/>
      <c r="D98" s="77"/>
      <c r="E98" s="71"/>
      <c r="F98" s="978"/>
      <c r="G98" s="978"/>
      <c r="H98" s="980"/>
      <c r="I98" s="980"/>
      <c r="J98" s="332"/>
    </row>
    <row r="99" spans="1:10">
      <c r="A99" s="61"/>
      <c r="B99" s="976"/>
      <c r="C99" s="976"/>
      <c r="D99" s="77"/>
      <c r="E99" s="71"/>
      <c r="F99" s="978"/>
      <c r="G99" s="978"/>
      <c r="H99" s="980"/>
      <c r="I99" s="980"/>
      <c r="J99" s="332"/>
    </row>
    <row r="100" spans="1:10">
      <c r="A100" s="61"/>
      <c r="B100" s="976"/>
      <c r="C100" s="976"/>
      <c r="D100" s="77"/>
      <c r="E100" s="71"/>
      <c r="F100" s="978"/>
      <c r="G100" s="978"/>
      <c r="H100" s="980"/>
      <c r="I100" s="980"/>
      <c r="J100" s="332"/>
    </row>
    <row r="101" spans="1:10">
      <c r="A101" s="61"/>
      <c r="B101" s="976"/>
      <c r="C101" s="976"/>
      <c r="D101" s="77"/>
      <c r="E101" s="71"/>
      <c r="F101" s="978"/>
      <c r="G101" s="978"/>
      <c r="H101" s="980"/>
      <c r="I101" s="980"/>
      <c r="J101" s="332"/>
    </row>
    <row r="102" spans="1:10">
      <c r="A102" s="61"/>
      <c r="B102" s="976"/>
      <c r="C102" s="976"/>
      <c r="D102" s="77"/>
      <c r="E102" s="71"/>
      <c r="F102" s="978"/>
      <c r="G102" s="978"/>
      <c r="H102" s="980"/>
      <c r="I102" s="980"/>
      <c r="J102" s="332"/>
    </row>
    <row r="103" spans="1:10">
      <c r="A103" s="61"/>
      <c r="B103" s="976"/>
      <c r="C103" s="976"/>
      <c r="D103" s="77"/>
      <c r="E103" s="71"/>
      <c r="F103" s="978"/>
      <c r="G103" s="978"/>
      <c r="H103" s="980"/>
      <c r="I103" s="980"/>
      <c r="J103" s="332"/>
    </row>
    <row r="104" spans="1:10">
      <c r="A104" s="61"/>
      <c r="B104" s="976"/>
      <c r="C104" s="976"/>
      <c r="D104" s="77"/>
      <c r="E104" s="71"/>
      <c r="F104" s="978"/>
      <c r="G104" s="978"/>
      <c r="H104" s="980"/>
      <c r="I104" s="980"/>
      <c r="J104" s="332"/>
    </row>
    <row r="105" spans="1:10">
      <c r="A105" s="61"/>
      <c r="B105" s="976"/>
      <c r="C105" s="976"/>
      <c r="D105" s="77"/>
      <c r="E105" s="71"/>
      <c r="F105" s="978"/>
      <c r="G105" s="978"/>
      <c r="H105" s="980"/>
      <c r="I105" s="980"/>
      <c r="J105" s="332"/>
    </row>
  </sheetData>
  <mergeCells count="302">
    <mergeCell ref="B13:C13"/>
    <mergeCell ref="B14:C14"/>
    <mergeCell ref="B15:C15"/>
    <mergeCell ref="F15:G15"/>
    <mergeCell ref="B12:C12"/>
    <mergeCell ref="B9:C9"/>
    <mergeCell ref="B10:C10"/>
    <mergeCell ref="B11:C11"/>
    <mergeCell ref="H6:I6"/>
    <mergeCell ref="F6:G6"/>
    <mergeCell ref="B6:C6"/>
    <mergeCell ref="F8:G8"/>
    <mergeCell ref="H8:I8"/>
    <mergeCell ref="H15:I15"/>
    <mergeCell ref="H4:I4"/>
    <mergeCell ref="H9:I9"/>
    <mergeCell ref="H10:I10"/>
    <mergeCell ref="H11:I11"/>
    <mergeCell ref="A1:A4"/>
    <mergeCell ref="F1:G1"/>
    <mergeCell ref="H1:I1"/>
    <mergeCell ref="F2:G2"/>
    <mergeCell ref="H2:I2"/>
    <mergeCell ref="F3:G3"/>
    <mergeCell ref="H3:I3"/>
    <mergeCell ref="F4:G4"/>
    <mergeCell ref="C1:E3"/>
    <mergeCell ref="C4:E4"/>
    <mergeCell ref="F7:G7"/>
    <mergeCell ref="H7:I7"/>
    <mergeCell ref="B7:C7"/>
    <mergeCell ref="B19:C19"/>
    <mergeCell ref="B20:C20"/>
    <mergeCell ref="B21:C21"/>
    <mergeCell ref="B22:C22"/>
    <mergeCell ref="B23:C23"/>
    <mergeCell ref="B24:C24"/>
    <mergeCell ref="B16:C16"/>
    <mergeCell ref="B17:C17"/>
    <mergeCell ref="B18:C18"/>
    <mergeCell ref="B25:C25"/>
    <mergeCell ref="B26:C26"/>
    <mergeCell ref="B27:C27"/>
    <mergeCell ref="B28:C28"/>
    <mergeCell ref="B47:C47"/>
    <mergeCell ref="B48:C48"/>
    <mergeCell ref="B29:C29"/>
    <mergeCell ref="B38:C38"/>
    <mergeCell ref="B30:C30"/>
    <mergeCell ref="B31:C31"/>
    <mergeCell ref="B32:C32"/>
    <mergeCell ref="B33:C33"/>
    <mergeCell ref="B40:C40"/>
    <mergeCell ref="B41:C41"/>
    <mergeCell ref="B42:C42"/>
    <mergeCell ref="B34:C34"/>
    <mergeCell ref="B35:C35"/>
    <mergeCell ref="B36:C36"/>
    <mergeCell ref="B37:C37"/>
    <mergeCell ref="B59:C59"/>
    <mergeCell ref="B53:C53"/>
    <mergeCell ref="B104:C104"/>
    <mergeCell ref="B105:C105"/>
    <mergeCell ref="F9:G9"/>
    <mergeCell ref="F10:G10"/>
    <mergeCell ref="F11:G11"/>
    <mergeCell ref="B100:C100"/>
    <mergeCell ref="B101:C101"/>
    <mergeCell ref="B102:C102"/>
    <mergeCell ref="B103:C103"/>
    <mergeCell ref="B60:C60"/>
    <mergeCell ref="B61:C61"/>
    <mergeCell ref="B96:C96"/>
    <mergeCell ref="B97:C97"/>
    <mergeCell ref="B98:C98"/>
    <mergeCell ref="B99:C99"/>
    <mergeCell ref="B62:C62"/>
    <mergeCell ref="B63:C63"/>
    <mergeCell ref="B64:C64"/>
    <mergeCell ref="B65:C65"/>
    <mergeCell ref="B54:C54"/>
    <mergeCell ref="B49:C49"/>
    <mergeCell ref="B50:C50"/>
    <mergeCell ref="F16:G16"/>
    <mergeCell ref="H16:I16"/>
    <mergeCell ref="F12:G12"/>
    <mergeCell ref="H12:I12"/>
    <mergeCell ref="F13:G13"/>
    <mergeCell ref="H13:I13"/>
    <mergeCell ref="F14:G14"/>
    <mergeCell ref="H14:I14"/>
    <mergeCell ref="F19:G19"/>
    <mergeCell ref="H19:I19"/>
    <mergeCell ref="F20:G20"/>
    <mergeCell ref="H20:I20"/>
    <mergeCell ref="F21:G21"/>
    <mergeCell ref="H21:I21"/>
    <mergeCell ref="F17:G17"/>
    <mergeCell ref="H17:I17"/>
    <mergeCell ref="F18:G18"/>
    <mergeCell ref="H18:I18"/>
    <mergeCell ref="F25:G25"/>
    <mergeCell ref="H25:I25"/>
    <mergeCell ref="F26:G26"/>
    <mergeCell ref="H26:I26"/>
    <mergeCell ref="F27:G27"/>
    <mergeCell ref="H27:I27"/>
    <mergeCell ref="F22:G22"/>
    <mergeCell ref="H22:I22"/>
    <mergeCell ref="F23:G23"/>
    <mergeCell ref="H23:I23"/>
    <mergeCell ref="F24:G24"/>
    <mergeCell ref="H24:I24"/>
    <mergeCell ref="F28:G28"/>
    <mergeCell ref="H28:I28"/>
    <mergeCell ref="F47:G47"/>
    <mergeCell ref="H47:I47"/>
    <mergeCell ref="F48:G48"/>
    <mergeCell ref="H48:I48"/>
    <mergeCell ref="F29:G29"/>
    <mergeCell ref="H29:I29"/>
    <mergeCell ref="F39:G39"/>
    <mergeCell ref="F40:G40"/>
    <mergeCell ref="F41:G41"/>
    <mergeCell ref="F42:G42"/>
    <mergeCell ref="F34:G34"/>
    <mergeCell ref="F35:G35"/>
    <mergeCell ref="F36:G36"/>
    <mergeCell ref="F37:G37"/>
    <mergeCell ref="H36:I36"/>
    <mergeCell ref="H37:I37"/>
    <mergeCell ref="H38:I38"/>
    <mergeCell ref="H30:I30"/>
    <mergeCell ref="F44:G44"/>
    <mergeCell ref="F45:G45"/>
    <mergeCell ref="F30:G30"/>
    <mergeCell ref="F31:G31"/>
    <mergeCell ref="H79:I79"/>
    <mergeCell ref="H80:I80"/>
    <mergeCell ref="H81:I81"/>
    <mergeCell ref="H82:I82"/>
    <mergeCell ref="H83:I83"/>
    <mergeCell ref="H72:I72"/>
    <mergeCell ref="F68:G68"/>
    <mergeCell ref="F69:G69"/>
    <mergeCell ref="F71:G71"/>
    <mergeCell ref="F72:G72"/>
    <mergeCell ref="F73:G73"/>
    <mergeCell ref="F74:G74"/>
    <mergeCell ref="F70:G70"/>
    <mergeCell ref="H62:I62"/>
    <mergeCell ref="H63:I63"/>
    <mergeCell ref="H64:I64"/>
    <mergeCell ref="H65:I65"/>
    <mergeCell ref="F97:G97"/>
    <mergeCell ref="F67:G67"/>
    <mergeCell ref="F79:G79"/>
    <mergeCell ref="H95:I95"/>
    <mergeCell ref="H94:I94"/>
    <mergeCell ref="F62:G62"/>
    <mergeCell ref="F63:G63"/>
    <mergeCell ref="F64:G64"/>
    <mergeCell ref="F65:G65"/>
    <mergeCell ref="F66:G66"/>
    <mergeCell ref="H66:I66"/>
    <mergeCell ref="H70:I70"/>
    <mergeCell ref="H73:I73"/>
    <mergeCell ref="H74:I74"/>
    <mergeCell ref="H75:I75"/>
    <mergeCell ref="H76:I76"/>
    <mergeCell ref="H77:I77"/>
    <mergeCell ref="F93:G93"/>
    <mergeCell ref="F80:G80"/>
    <mergeCell ref="H78:I78"/>
    <mergeCell ref="F51:G51"/>
    <mergeCell ref="H104:I104"/>
    <mergeCell ref="F105:G105"/>
    <mergeCell ref="H105:I105"/>
    <mergeCell ref="F103:G103"/>
    <mergeCell ref="H103:I103"/>
    <mergeCell ref="F100:G100"/>
    <mergeCell ref="H100:I100"/>
    <mergeCell ref="F101:G101"/>
    <mergeCell ref="H101:I101"/>
    <mergeCell ref="F102:G102"/>
    <mergeCell ref="H102:I102"/>
    <mergeCell ref="F104:G104"/>
    <mergeCell ref="H97:I97"/>
    <mergeCell ref="F98:G98"/>
    <mergeCell ref="H98:I98"/>
    <mergeCell ref="F99:G99"/>
    <mergeCell ref="H99:I99"/>
    <mergeCell ref="F60:G60"/>
    <mergeCell ref="H60:I60"/>
    <mergeCell ref="F61:G61"/>
    <mergeCell ref="H61:I61"/>
    <mergeCell ref="F96:G96"/>
    <mergeCell ref="H96:I96"/>
    <mergeCell ref="H31:I31"/>
    <mergeCell ref="H32:I32"/>
    <mergeCell ref="H33:I33"/>
    <mergeCell ref="H34:I34"/>
    <mergeCell ref="H35:I35"/>
    <mergeCell ref="A53:A55"/>
    <mergeCell ref="H39:I39"/>
    <mergeCell ref="H40:I40"/>
    <mergeCell ref="H41:I41"/>
    <mergeCell ref="H42:I42"/>
    <mergeCell ref="H43:I43"/>
    <mergeCell ref="H44:I44"/>
    <mergeCell ref="F46:G46"/>
    <mergeCell ref="B44:C44"/>
    <mergeCell ref="B45:C45"/>
    <mergeCell ref="B46:C46"/>
    <mergeCell ref="H54:I54"/>
    <mergeCell ref="H55:I55"/>
    <mergeCell ref="H45:I45"/>
    <mergeCell ref="H46:I46"/>
    <mergeCell ref="F32:G32"/>
    <mergeCell ref="F43:G43"/>
    <mergeCell ref="F54:G54"/>
    <mergeCell ref="F55:G55"/>
    <mergeCell ref="F33:G33"/>
    <mergeCell ref="B43:C43"/>
    <mergeCell ref="B39:C39"/>
    <mergeCell ref="H57:I57"/>
    <mergeCell ref="H58:I58"/>
    <mergeCell ref="H59:I59"/>
    <mergeCell ref="H56:I56"/>
    <mergeCell ref="H52:I52"/>
    <mergeCell ref="H53:I53"/>
    <mergeCell ref="F49:G49"/>
    <mergeCell ref="H49:I49"/>
    <mergeCell ref="F50:G50"/>
    <mergeCell ref="H50:I50"/>
    <mergeCell ref="H51:I51"/>
    <mergeCell ref="F58:G58"/>
    <mergeCell ref="F59:G59"/>
    <mergeCell ref="B55:C55"/>
    <mergeCell ref="B57:C57"/>
    <mergeCell ref="B51:C51"/>
    <mergeCell ref="F57:G57"/>
    <mergeCell ref="F56:G56"/>
    <mergeCell ref="F52:G52"/>
    <mergeCell ref="F53:G53"/>
    <mergeCell ref="F38:G38"/>
    <mergeCell ref="B66:C66"/>
    <mergeCell ref="F95:G95"/>
    <mergeCell ref="H67:I67"/>
    <mergeCell ref="H68:I68"/>
    <mergeCell ref="H69:I69"/>
    <mergeCell ref="H71:I71"/>
    <mergeCell ref="F87:G87"/>
    <mergeCell ref="F88:G88"/>
    <mergeCell ref="F89:G89"/>
    <mergeCell ref="F90:G90"/>
    <mergeCell ref="F91:G91"/>
    <mergeCell ref="F92:G92"/>
    <mergeCell ref="F81:G81"/>
    <mergeCell ref="F82:G82"/>
    <mergeCell ref="F83:G83"/>
    <mergeCell ref="F84:G84"/>
    <mergeCell ref="F85:G85"/>
    <mergeCell ref="F86:G86"/>
    <mergeCell ref="F75:G75"/>
    <mergeCell ref="F76:G76"/>
    <mergeCell ref="F77:G77"/>
    <mergeCell ref="F78:G78"/>
    <mergeCell ref="B68:C68"/>
    <mergeCell ref="B70:C70"/>
    <mergeCell ref="H90:I90"/>
    <mergeCell ref="H91:I91"/>
    <mergeCell ref="H92:I92"/>
    <mergeCell ref="H93:I93"/>
    <mergeCell ref="H84:I84"/>
    <mergeCell ref="H85:I85"/>
    <mergeCell ref="H86:I86"/>
    <mergeCell ref="H87:I87"/>
    <mergeCell ref="H88:I88"/>
    <mergeCell ref="H89:I89"/>
    <mergeCell ref="B72:C72"/>
    <mergeCell ref="B74:C74"/>
    <mergeCell ref="F94:G94"/>
    <mergeCell ref="B95:C95"/>
    <mergeCell ref="B88:C88"/>
    <mergeCell ref="B89:C89"/>
    <mergeCell ref="B90:C90"/>
    <mergeCell ref="B91:C91"/>
    <mergeCell ref="B92:C92"/>
    <mergeCell ref="B82:C82"/>
    <mergeCell ref="B83:C83"/>
    <mergeCell ref="B84:C84"/>
    <mergeCell ref="B85:C85"/>
    <mergeCell ref="B86:C86"/>
    <mergeCell ref="B87:C87"/>
    <mergeCell ref="B93:C93"/>
    <mergeCell ref="B94:C94"/>
    <mergeCell ref="B76:C76"/>
    <mergeCell ref="B78:C78"/>
    <mergeCell ref="B79:C79"/>
    <mergeCell ref="B80:C80"/>
    <mergeCell ref="B81:C81"/>
  </mergeCells>
  <printOptions horizontalCentered="1"/>
  <pageMargins left="0.78740157480314965" right="0.39370078740157483" top="0.59055118110236227" bottom="1.3779527559055118" header="0.31496062992125984" footer="0"/>
  <pageSetup scale="82" orientation="portrait" r:id="rId1"/>
  <headerFooter>
    <oddFooter>&amp;C&amp;G</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O141"/>
  <sheetViews>
    <sheetView topLeftCell="A10" zoomScaleNormal="100" workbookViewId="0">
      <selection activeCell="A114" sqref="A114:A116"/>
    </sheetView>
  </sheetViews>
  <sheetFormatPr baseColWidth="10" defaultColWidth="13.7109375" defaultRowHeight="12"/>
  <cols>
    <col min="1" max="1" width="7.7109375" style="81" customWidth="1"/>
    <col min="2" max="2" width="54.5703125" style="82" customWidth="1"/>
    <col min="3" max="3" width="5.7109375" style="81" customWidth="1"/>
    <col min="4" max="4" width="9.140625" style="83" customWidth="1"/>
    <col min="5" max="5" width="14.7109375" style="83" customWidth="1"/>
    <col min="6" max="6" width="15.85546875" style="83" customWidth="1"/>
    <col min="7" max="7" width="4.140625" style="83" customWidth="1"/>
    <col min="8" max="8" width="13.42578125" style="82" customWidth="1"/>
    <col min="9" max="9" width="14.7109375" style="82" customWidth="1"/>
    <col min="10" max="10" width="4.42578125" style="82" customWidth="1"/>
    <col min="11" max="11" width="11.85546875" style="82" customWidth="1"/>
    <col min="12" max="12" width="18.5703125" style="82" customWidth="1"/>
    <col min="13" max="13" width="12.5703125" style="82" customWidth="1"/>
    <col min="14" max="14" width="13.85546875" style="82" customWidth="1"/>
    <col min="15" max="15" width="4.7109375" style="82" customWidth="1"/>
    <col min="16" max="16384" width="13.7109375" style="82"/>
  </cols>
  <sheetData>
    <row r="1" spans="1:14" ht="15.75">
      <c r="A1" s="1049" t="s">
        <v>246</v>
      </c>
      <c r="B1" s="1050"/>
      <c r="C1" s="1051" t="str">
        <f>"MUNICIPIO DE "&amp;DATOS!E8</f>
        <v xml:space="preserve">MUNICIPIO DE </v>
      </c>
      <c r="D1" s="1052"/>
      <c r="E1" s="1052"/>
      <c r="F1" s="1052"/>
      <c r="G1" s="1052"/>
      <c r="H1" s="1052"/>
      <c r="I1" s="1052"/>
      <c r="J1" s="1052"/>
      <c r="K1" s="1052"/>
      <c r="L1" s="1052"/>
      <c r="M1" s="129" t="s">
        <v>90</v>
      </c>
      <c r="N1" s="130" t="s">
        <v>1130</v>
      </c>
    </row>
    <row r="2" spans="1:14">
      <c r="A2" s="1050"/>
      <c r="B2" s="1050"/>
      <c r="C2" s="103" t="str">
        <f>DATOS!E10&amp;" No.:"</f>
        <v xml:space="preserve"> No.:</v>
      </c>
      <c r="D2" s="104"/>
      <c r="E2" s="105"/>
      <c r="F2" s="1053" t="str">
        <f>DATOS!E12&amp;" "&amp;DATOS!G12&amp;" "&amp;DATOS!I12</f>
        <v xml:space="preserve">  </v>
      </c>
      <c r="G2" s="1054"/>
      <c r="H2" s="1055"/>
      <c r="I2" s="103" t="s">
        <v>184</v>
      </c>
      <c r="J2" s="104"/>
      <c r="K2" s="105"/>
      <c r="L2" s="109">
        <f>DATOS!E52</f>
        <v>0</v>
      </c>
      <c r="M2" s="129" t="s">
        <v>89</v>
      </c>
      <c r="N2" s="130" t="s">
        <v>248</v>
      </c>
    </row>
    <row r="3" spans="1:14">
      <c r="A3" s="1050"/>
      <c r="B3" s="1050"/>
      <c r="C3" s="98" t="s">
        <v>4</v>
      </c>
      <c r="D3" s="99"/>
      <c r="E3" s="100"/>
      <c r="F3" s="1053">
        <f>DATOS!G16</f>
        <v>0</v>
      </c>
      <c r="G3" s="1054"/>
      <c r="H3" s="1055"/>
      <c r="I3" s="103" t="s">
        <v>236</v>
      </c>
      <c r="J3" s="104"/>
      <c r="K3" s="105"/>
      <c r="L3" s="110">
        <f>DATOS!E72</f>
        <v>42428</v>
      </c>
      <c r="M3" s="129" t="s">
        <v>247</v>
      </c>
      <c r="N3" s="395">
        <v>42705</v>
      </c>
    </row>
    <row r="4" spans="1:14">
      <c r="A4" s="1050"/>
      <c r="B4" s="1050"/>
      <c r="C4" s="98" t="s">
        <v>5</v>
      </c>
      <c r="D4" s="99"/>
      <c r="E4" s="100"/>
      <c r="F4" s="1053" t="str">
        <f>IF(DATOS!E16="Persona Jurídica",DATOS!G20," ")</f>
        <v xml:space="preserve"> </v>
      </c>
      <c r="G4" s="1054"/>
      <c r="H4" s="1055"/>
      <c r="I4" s="103" t="s">
        <v>241</v>
      </c>
      <c r="J4" s="104"/>
      <c r="K4" s="105"/>
      <c r="L4" s="106">
        <f>DATOS!E74</f>
        <v>42459</v>
      </c>
      <c r="M4" s="1062" t="s">
        <v>313</v>
      </c>
      <c r="N4" s="1063"/>
    </row>
    <row r="5" spans="1:14">
      <c r="A5" s="1050"/>
      <c r="B5" s="1050"/>
      <c r="C5" s="98" t="s">
        <v>105</v>
      </c>
      <c r="D5" s="99"/>
      <c r="E5" s="100"/>
      <c r="F5" s="1053">
        <f>LOOKUP(C5,DATOS!C24:C30,DATOS!G24:G30)</f>
        <v>0</v>
      </c>
      <c r="G5" s="1054"/>
      <c r="H5" s="1055"/>
      <c r="I5" s="103" t="s">
        <v>237</v>
      </c>
      <c r="J5" s="104"/>
      <c r="K5" s="105"/>
      <c r="L5" s="106">
        <f>DATOS!E78</f>
        <v>42491</v>
      </c>
      <c r="M5" s="1062"/>
      <c r="N5" s="1063"/>
    </row>
    <row r="6" spans="1:14">
      <c r="A6" s="1050"/>
      <c r="B6" s="1050"/>
      <c r="C6" s="98" t="s">
        <v>5</v>
      </c>
      <c r="D6" s="99"/>
      <c r="E6" s="100"/>
      <c r="F6" s="1053" t="str">
        <f>IF(DATOS!E24="Persona Jurídica",DATOS!G28," ")</f>
        <v xml:space="preserve"> </v>
      </c>
      <c r="G6" s="1054"/>
      <c r="H6" s="1055"/>
      <c r="I6" s="103" t="s">
        <v>242</v>
      </c>
      <c r="J6" s="104"/>
      <c r="K6" s="105"/>
      <c r="L6" s="106">
        <f>DATOS!E80</f>
        <v>42916</v>
      </c>
      <c r="M6" s="1062"/>
      <c r="N6" s="1063"/>
    </row>
    <row r="7" spans="1:14">
      <c r="A7" s="1050"/>
      <c r="B7" s="1050"/>
      <c r="C7" s="98" t="s">
        <v>185</v>
      </c>
      <c r="D7" s="99"/>
      <c r="E7" s="100"/>
      <c r="F7" s="1041">
        <f>DATOS!E46</f>
        <v>0</v>
      </c>
      <c r="G7" s="1042"/>
      <c r="H7" s="1043"/>
      <c r="I7" s="103" t="s">
        <v>238</v>
      </c>
      <c r="J7" s="104"/>
      <c r="K7" s="105"/>
      <c r="L7" s="106">
        <f>DATOS!E84</f>
        <v>42541</v>
      </c>
      <c r="M7" s="1062"/>
      <c r="N7" s="1063"/>
    </row>
    <row r="8" spans="1:14">
      <c r="A8" s="1050"/>
      <c r="B8" s="1050"/>
      <c r="C8" s="98" t="s">
        <v>77</v>
      </c>
      <c r="D8" s="99"/>
      <c r="E8" s="100"/>
      <c r="F8" s="1041">
        <f>DATOS!E60</f>
        <v>30000000</v>
      </c>
      <c r="G8" s="1042"/>
      <c r="H8" s="1043"/>
      <c r="I8" s="103" t="s">
        <v>243</v>
      </c>
      <c r="J8" s="104"/>
      <c r="K8" s="105"/>
      <c r="L8" s="106">
        <f>DATOS!E86</f>
        <v>42546</v>
      </c>
      <c r="M8" s="1062"/>
      <c r="N8" s="1063"/>
    </row>
    <row r="9" spans="1:14">
      <c r="A9" s="1050"/>
      <c r="B9" s="1050"/>
      <c r="C9" s="98" t="s">
        <v>78</v>
      </c>
      <c r="D9" s="99"/>
      <c r="E9" s="100"/>
      <c r="F9" s="1041">
        <f>DATOS!E62</f>
        <v>0</v>
      </c>
      <c r="G9" s="1042"/>
      <c r="H9" s="1043"/>
      <c r="I9" s="103" t="s">
        <v>239</v>
      </c>
      <c r="J9" s="104"/>
      <c r="K9" s="105"/>
      <c r="L9" s="106">
        <f>DATOS!E90</f>
        <v>0</v>
      </c>
      <c r="M9" s="1062"/>
      <c r="N9" s="1063"/>
    </row>
    <row r="10" spans="1:14">
      <c r="A10" s="1044" t="s">
        <v>8</v>
      </c>
      <c r="B10" s="1045">
        <f>DATOS!E38</f>
        <v>0</v>
      </c>
      <c r="C10" s="98" t="s">
        <v>186</v>
      </c>
      <c r="D10" s="99"/>
      <c r="E10" s="100"/>
      <c r="F10" s="1041">
        <f>F7+F8+F9</f>
        <v>30000000</v>
      </c>
      <c r="G10" s="1042"/>
      <c r="H10" s="1043"/>
      <c r="I10" s="103" t="s">
        <v>244</v>
      </c>
      <c r="J10" s="104"/>
      <c r="K10" s="105"/>
      <c r="L10" s="106">
        <f>DATOS!E92</f>
        <v>0</v>
      </c>
      <c r="M10" s="1062"/>
      <c r="N10" s="1063"/>
    </row>
    <row r="11" spans="1:14">
      <c r="A11" s="1044"/>
      <c r="B11" s="1045"/>
      <c r="C11" s="98" t="s">
        <v>233</v>
      </c>
      <c r="D11" s="99"/>
      <c r="E11" s="100"/>
      <c r="F11" s="1046">
        <f>DATOS!E174</f>
        <v>42602</v>
      </c>
      <c r="G11" s="1047"/>
      <c r="H11" s="1048"/>
      <c r="I11" s="103" t="s">
        <v>240</v>
      </c>
      <c r="J11" s="104"/>
      <c r="K11" s="105"/>
      <c r="L11" s="106"/>
      <c r="M11" s="1064"/>
      <c r="N11" s="1065"/>
    </row>
    <row r="12" spans="1:14">
      <c r="A12" s="1044"/>
      <c r="B12" s="1045"/>
      <c r="C12" s="98" t="s">
        <v>234</v>
      </c>
      <c r="D12" s="99"/>
      <c r="E12" s="100"/>
      <c r="F12" s="1046">
        <f>DATOS!E176</f>
        <v>0</v>
      </c>
      <c r="G12" s="1047"/>
      <c r="H12" s="1048"/>
      <c r="I12" s="103" t="s">
        <v>245</v>
      </c>
      <c r="J12" s="104"/>
      <c r="K12" s="105"/>
      <c r="L12" s="106"/>
      <c r="M12" s="1073">
        <f>DATOS!E136</f>
        <v>0</v>
      </c>
      <c r="N12" s="1074"/>
    </row>
    <row r="13" spans="1:14">
      <c r="A13" s="1044"/>
      <c r="B13" s="1045"/>
      <c r="C13" s="98" t="s">
        <v>235</v>
      </c>
      <c r="D13" s="99"/>
      <c r="E13" s="100"/>
      <c r="F13" s="1046">
        <f>DATOS!E178</f>
        <v>0</v>
      </c>
      <c r="G13" s="1047"/>
      <c r="H13" s="1048"/>
      <c r="I13" s="103" t="s">
        <v>72</v>
      </c>
      <c r="J13" s="104"/>
      <c r="K13" s="105"/>
      <c r="L13" s="107">
        <f>DATOS!E132</f>
        <v>614</v>
      </c>
      <c r="M13" s="1075"/>
      <c r="N13" s="1076"/>
    </row>
    <row r="14" spans="1:14">
      <c r="A14" s="84"/>
      <c r="B14" s="85"/>
      <c r="C14" s="84"/>
      <c r="D14" s="86"/>
      <c r="E14" s="86"/>
      <c r="F14" s="86"/>
      <c r="G14" s="86"/>
      <c r="H14" s="85"/>
      <c r="I14" s="85"/>
      <c r="J14" s="85"/>
      <c r="K14" s="85"/>
      <c r="L14" s="85"/>
      <c r="M14" s="85"/>
      <c r="N14" s="85"/>
    </row>
    <row r="15" spans="1:14" ht="15" customHeight="1">
      <c r="A15" s="1040" t="s">
        <v>181</v>
      </c>
      <c r="B15" s="1040" t="s">
        <v>115</v>
      </c>
      <c r="C15" s="1077" t="s">
        <v>182</v>
      </c>
      <c r="D15" s="1078"/>
      <c r="E15" s="1078"/>
      <c r="F15" s="1079"/>
      <c r="G15" s="1058" t="s">
        <v>314</v>
      </c>
      <c r="H15" s="1059"/>
      <c r="I15" s="1059"/>
      <c r="J15" s="1059"/>
      <c r="K15" s="1059"/>
      <c r="L15" s="1060"/>
      <c r="M15" s="1067" t="s">
        <v>187</v>
      </c>
      <c r="N15" s="1068"/>
    </row>
    <row r="16" spans="1:14" ht="15" customHeight="1">
      <c r="A16" s="1040"/>
      <c r="B16" s="1040"/>
      <c r="C16" s="1080"/>
      <c r="D16" s="1081"/>
      <c r="E16" s="1081"/>
      <c r="F16" s="1082"/>
      <c r="G16" s="1056" t="s">
        <v>315</v>
      </c>
      <c r="H16" s="1061"/>
      <c r="I16" s="1057"/>
      <c r="J16" s="470"/>
      <c r="K16" s="1056" t="s">
        <v>316</v>
      </c>
      <c r="L16" s="1057"/>
      <c r="M16" s="1069"/>
      <c r="N16" s="1070"/>
    </row>
    <row r="17" spans="1:15" ht="15" customHeight="1">
      <c r="A17" s="1040"/>
      <c r="B17" s="1040"/>
      <c r="C17" s="146" t="s">
        <v>164</v>
      </c>
      <c r="D17" s="96" t="s">
        <v>118</v>
      </c>
      <c r="E17" s="96" t="s">
        <v>180</v>
      </c>
      <c r="F17" s="96" t="s">
        <v>117</v>
      </c>
      <c r="G17" s="474" t="s">
        <v>432</v>
      </c>
      <c r="H17" s="407" t="s">
        <v>317</v>
      </c>
      <c r="I17" s="149" t="s">
        <v>117</v>
      </c>
      <c r="J17" s="475" t="s">
        <v>431</v>
      </c>
      <c r="K17" s="150" t="s">
        <v>317</v>
      </c>
      <c r="L17" s="150" t="s">
        <v>117</v>
      </c>
      <c r="M17" s="147" t="s">
        <v>317</v>
      </c>
      <c r="N17" s="147" t="s">
        <v>117</v>
      </c>
    </row>
    <row r="18" spans="1:15">
      <c r="A18" s="87" t="str">
        <f>IF(LOOKUP(O18,PPTO!$J$8:$J$269,PPTO!A$8:A$269)=0," ",LOOKUP(O18,PPTO!$J$8:$J$269,PPTO!A$8:A$269))</f>
        <v xml:space="preserve"> </v>
      </c>
      <c r="B18" s="88" t="str">
        <f>IF(LOOKUP(O18,PPTO!$J$8:J$269,PPTO!B$8:B$269)=0," ",LOOKUP(O18,PPTO!$J$8:J$269,PPTO!B$8:B$269))</f>
        <v xml:space="preserve"> </v>
      </c>
      <c r="C18" s="89" t="str">
        <f>IF(LOOKUP(O18,PPTO!$J$8:$J$269,PPTO!D$8:D$269)=0," ",LOOKUP(O18,PPTO!$J$8:$J$269,PPTO!D$8:D$269))</f>
        <v xml:space="preserve"> </v>
      </c>
      <c r="D18" s="90" t="str">
        <f>IF(LOOKUP(O18,PPTO!$J$8:$J$269,PPTO!D$8:D$269)=0," ",LOOKUP(O18,PPTO!$J$8:$J$269,PPTO!D$8:D$269))</f>
        <v xml:space="preserve"> </v>
      </c>
      <c r="E18" s="90" t="str">
        <f>IF(LOOKUP(O18,PPTO!$J$8:$J$269,PPTO!E$8:E$269)=0," ",LOOKUP(O18,PPTO!$J$8:$J$269,PPTO!E$8:E$269))</f>
        <v xml:space="preserve"> </v>
      </c>
      <c r="F18" s="90" t="str">
        <f>IF(LOOKUP(O18,PPTO!$J$8:$J$269,PPTO!F$8:F$269)=0," ",LOOKUP(O18,PPTO!$J$8:$J$269,PPTO!F$8:F$269))</f>
        <v xml:space="preserve"> </v>
      </c>
      <c r="G18" s="90"/>
      <c r="H18" s="102"/>
      <c r="I18" s="102"/>
      <c r="J18" s="102"/>
      <c r="K18" s="102"/>
      <c r="L18" s="102"/>
      <c r="M18" s="175"/>
      <c r="N18" s="102"/>
      <c r="O18" s="108">
        <v>1</v>
      </c>
    </row>
    <row r="19" spans="1:15">
      <c r="A19" s="87" t="str">
        <f>IF(LOOKUP(O19,PPTO!$J$8:$J$269,PPTO!A$8:A$269)=0," ",LOOKUP(O19,PPTO!$J$8:$J$269,PPTO!A$8:A$269))</f>
        <v xml:space="preserve"> </v>
      </c>
      <c r="B19" s="88" t="str">
        <f>IF(LOOKUP(O19,PPTO!$J$8:J$269,PPTO!B$8:B$269)=0," ",LOOKUP(O19,PPTO!$J$8:J$269,PPTO!B$8:B$269))</f>
        <v>PRESUPUESTO OBRA CIVIL</v>
      </c>
      <c r="C19" s="89" t="str">
        <f>IF(LOOKUP(O19,PPTO!$J$8:$J$269,PPTO!D$8:D$269)=0," ",LOOKUP(O19,PPTO!$J$8:$J$269,PPTO!D$8:D$269))</f>
        <v xml:space="preserve"> </v>
      </c>
      <c r="D19" s="90" t="str">
        <f>IF(LOOKUP(O19,PPTO!$J$8:$J$269,PPTO!D$8:D$269)=0," ",LOOKUP(O19,PPTO!$J$8:$J$269,PPTO!D$8:D$269))</f>
        <v xml:space="preserve"> </v>
      </c>
      <c r="E19" s="90" t="str">
        <f>IF(LOOKUP(O19,PPTO!$J$8:$J$269,PPTO!E$8:E$269)=0," ",LOOKUP(O19,PPTO!$J$8:$J$269,PPTO!E$8:E$269))</f>
        <v xml:space="preserve"> </v>
      </c>
      <c r="F19" s="90" t="str">
        <f>IF(LOOKUP(O19,PPTO!$J$8:$J$269,PPTO!H$8:H$269)=0," ",LOOKUP(O19,PPTO!$J$8:$J$269,PPTO!H$8:H$269))</f>
        <v xml:space="preserve"> </v>
      </c>
      <c r="G19" s="90"/>
      <c r="H19" s="102"/>
      <c r="I19" s="102"/>
      <c r="J19" s="102"/>
      <c r="K19" s="102"/>
      <c r="L19" s="102"/>
      <c r="M19" s="175"/>
      <c r="N19" s="102"/>
      <c r="O19" s="108">
        <f>O18+1</f>
        <v>2</v>
      </c>
    </row>
    <row r="20" spans="1:15">
      <c r="A20" s="92">
        <f>IF(LOOKUP(O20,PPTO!$J$8:$J$269,PPTO!A$8:A$269)=0," ",LOOKUP(O20,PPTO!$J$8:$J$269,PPTO!A$8:A$269))</f>
        <v>1</v>
      </c>
      <c r="B20" s="88" t="str">
        <f>IF(LOOKUP(O20,PPTO!$J$8:J$269,PPTO!B$8:B$269)=0," ",LOOKUP(O20,PPTO!$J$8:J$269,PPTO!B$8:B$269))</f>
        <v>PRELIMINARES</v>
      </c>
      <c r="C20" s="89" t="str">
        <f>IF(LOOKUP(O20,PPTO!$J$8:$J$269,PPTO!D$8:D$269)=0," ",LOOKUP(O20,PPTO!$J$8:$J$269,PPTO!D$8:D$269))</f>
        <v xml:space="preserve"> </v>
      </c>
      <c r="D20" s="90" t="str">
        <f>IF(LOOKUP(O20,PPTO!$J$8:$J$269,PPTO!E$8:E$269)=0," ",LOOKUP(O20,PPTO!$J$8:$J$269,PPTO!E$8:E$269))</f>
        <v xml:space="preserve"> </v>
      </c>
      <c r="E20" s="90" t="str">
        <f>IF(LOOKUP(O20,PPTO!$J$8:$J$269,PPTO!F$8:F$269)=0," ",LOOKUP(O20,PPTO!$J$8:$J$269,PPTO!F$8:F$269))</f>
        <v xml:space="preserve"> </v>
      </c>
      <c r="F20" s="90" t="str">
        <f>IF(LOOKUP(O20,PPTO!$J$8:$J$269,PPTO!H$8:H$269)=0," ",LOOKUP(O20,PPTO!$J$8:$J$269,PPTO!H$8:H$269))</f>
        <v xml:space="preserve"> </v>
      </c>
      <c r="G20" s="90"/>
      <c r="H20" s="102"/>
      <c r="I20" s="102"/>
      <c r="J20" s="102"/>
      <c r="K20" s="102"/>
      <c r="L20" s="102"/>
      <c r="M20" s="175"/>
      <c r="N20" s="102"/>
      <c r="O20" s="108">
        <f t="shared" ref="O20:O61" si="0">O19+1</f>
        <v>3</v>
      </c>
    </row>
    <row r="21" spans="1:15">
      <c r="A21" s="87" t="str">
        <f>IF(LOOKUP(O21,PPTO!$J$8:$J$269,PPTO!A$8:A$269)=0," ",LOOKUP(O21,PPTO!$J$8:$J$269,PPTO!A$8:A$269))</f>
        <v>1.02</v>
      </c>
      <c r="B21" s="91" t="str">
        <f>IF(LOOKUP(O21,PPTO!$J$8:J$269,PPTO!B$8:B$269)=0," ",LOOKUP(O21,PPTO!$J$8:J$269,PPTO!B$8:B$269))</f>
        <v xml:space="preserve"> </v>
      </c>
      <c r="C21" s="89" t="str">
        <f>IF(LOOKUP(O21,PPTO!$J$8:$J$269,PPTO!D$8:D$269)=0," ",LOOKUP(O21,PPTO!$J$8:$J$269,PPTO!D$8:D$269))</f>
        <v>ML</v>
      </c>
      <c r="D21" s="90" t="str">
        <f>IF(LOOKUP(O21,PPTO!$J$8:$J$269,PPTO!E$8:E$269)=0," ",LOOKUP(O21,PPTO!$J$8:$J$269,PPTO!E$8:E$269))</f>
        <v xml:space="preserve"> </v>
      </c>
      <c r="E21" s="90" t="str">
        <f>IF(LOOKUP(O21,PPTO!$J$8:$J$269,PPTO!F$8:F$269)=0," ",LOOKUP(O21,PPTO!$J$8:$J$269,PPTO!F$8:F$269))</f>
        <v xml:space="preserve"> </v>
      </c>
      <c r="F21" s="90" t="str">
        <f>IF(LOOKUP(O21,PPTO!$J$8:$J$269,PPTO!H$8:H$269)=0," ",LOOKUP(O21,PPTO!$J$8:$J$269,PPTO!H$8:H$269))</f>
        <v xml:space="preserve"> </v>
      </c>
      <c r="G21" s="476" t="str">
        <f>IF(H21&gt;=0,"+","-")</f>
        <v>+</v>
      </c>
      <c r="H21" s="102">
        <v>0</v>
      </c>
      <c r="I21" s="102" t="e">
        <f>ROUND(H21*E21,0)</f>
        <v>#VALUE!</v>
      </c>
      <c r="J21" s="477" t="str">
        <f>IF(K21&gt;=0,"+","-")</f>
        <v>+</v>
      </c>
      <c r="K21" s="102">
        <v>3</v>
      </c>
      <c r="L21" s="102" t="e">
        <f>ROUND(K21*E21,0)</f>
        <v>#VALUE!</v>
      </c>
      <c r="M21" s="175" t="e">
        <f>+K21+D21</f>
        <v>#VALUE!</v>
      </c>
      <c r="N21" s="102" t="e">
        <f>ROUND(M21*E21,0)</f>
        <v>#VALUE!</v>
      </c>
      <c r="O21" s="108">
        <f t="shared" si="0"/>
        <v>4</v>
      </c>
    </row>
    <row r="22" spans="1:15">
      <c r="A22" s="87">
        <f>IF(LOOKUP(O22,PPTO!$J$8:$J$269,PPTO!A$8:A$269)=0," ",LOOKUP(O22,PPTO!$J$8:$J$269,PPTO!A$8:A$269))</f>
        <v>2</v>
      </c>
      <c r="B22" s="91" t="str">
        <f>IF(LOOKUP(O22,PPTO!$J$8:J$269,PPTO!B$8:B$269)=0," ",LOOKUP(O22,PPTO!$J$8:J$269,PPTO!B$8:B$269))</f>
        <v>DEMOLICION Y ROTURAS</v>
      </c>
      <c r="C22" s="89" t="str">
        <f>IF(LOOKUP(O22,PPTO!$J$8:$J$269,PPTO!D$8:D$269)=0," ",LOOKUP(O22,PPTO!$J$8:$J$269,PPTO!D$8:D$269))</f>
        <v xml:space="preserve"> </v>
      </c>
      <c r="D22" s="90" t="str">
        <f>IF(LOOKUP(O22,PPTO!$J$8:$J$269,PPTO!E$8:E$269)=0," ",LOOKUP(O22,PPTO!$J$8:$J$269,PPTO!E$8:E$269))</f>
        <v xml:space="preserve"> </v>
      </c>
      <c r="E22" s="90" t="str">
        <f>IF(LOOKUP(O22,PPTO!$J$8:$J$269,PPTO!F$8:F$269)=0," ",LOOKUP(O22,PPTO!$J$8:$J$269,PPTO!F$8:F$269))</f>
        <v xml:space="preserve"> </v>
      </c>
      <c r="F22" s="90" t="str">
        <f>IF(LOOKUP(O22,PPTO!$J$8:$J$269,PPTO!H$8:H$269)=0," ",LOOKUP(O22,PPTO!$J$8:$J$269,PPTO!H$8:H$269))</f>
        <v xml:space="preserve"> </v>
      </c>
      <c r="G22" s="476" t="str">
        <f t="shared" ref="G22:G61" si="1">IF(H22&gt;=0,"+","-")</f>
        <v>+</v>
      </c>
      <c r="H22" s="102"/>
      <c r="I22" s="102"/>
      <c r="J22" s="477" t="str">
        <f t="shared" ref="J22:J61" si="2">IF(K22&gt;=0,"+","-")</f>
        <v>+</v>
      </c>
      <c r="K22" s="102"/>
      <c r="L22" s="102"/>
      <c r="M22" s="175"/>
      <c r="N22" s="102"/>
      <c r="O22" s="108">
        <f t="shared" si="0"/>
        <v>5</v>
      </c>
    </row>
    <row r="23" spans="1:15">
      <c r="A23" s="87" t="str">
        <f>IF(LOOKUP(O23,PPTO!$J$8:$J$269,PPTO!A$8:A$269)=0," ",LOOKUP(O23,PPTO!$J$8:$J$269,PPTO!A$8:A$269))</f>
        <v>2.01</v>
      </c>
      <c r="B23" s="91" t="str">
        <f>IF(LOOKUP(O23,PPTO!$J$8:J$269,PPTO!B$8:B$269)=0," ",LOOKUP(O23,PPTO!$J$8:J$269,PPTO!B$8:B$269))</f>
        <v xml:space="preserve"> </v>
      </c>
      <c r="C23" s="89" t="str">
        <f>IF(LOOKUP(O23,PPTO!$J$8:$J$269,PPTO!D$8:D$269)=0," ",LOOKUP(O23,PPTO!$J$8:$J$269,PPTO!D$8:D$269))</f>
        <v>ML</v>
      </c>
      <c r="D23" s="90" t="str">
        <f>IF(LOOKUP(O23,PPTO!$J$8:$J$269,PPTO!E$8:E$269)=0," ",LOOKUP(O23,PPTO!$J$8:$J$269,PPTO!E$8:E$269))</f>
        <v xml:space="preserve"> </v>
      </c>
      <c r="E23" s="90" t="str">
        <f>IF(LOOKUP(O23,PPTO!$J$8:$J$269,PPTO!F$8:F$269)=0," ",LOOKUP(O23,PPTO!$J$8:$J$269,PPTO!F$8:F$269))</f>
        <v xml:space="preserve"> </v>
      </c>
      <c r="F23" s="90" t="str">
        <f>IF(LOOKUP(O23,PPTO!$J$8:$J$269,PPTO!H$8:H$269)=0," ",LOOKUP(O23,PPTO!$J$8:$J$269,PPTO!H$8:H$269))</f>
        <v xml:space="preserve"> </v>
      </c>
      <c r="G23" s="476" t="str">
        <f t="shared" si="1"/>
        <v>+</v>
      </c>
      <c r="H23" s="102">
        <v>0</v>
      </c>
      <c r="I23" s="102" t="e">
        <f t="shared" ref="I23:I61" si="3">ROUND(H23*E23,0)</f>
        <v>#VALUE!</v>
      </c>
      <c r="J23" s="477" t="e">
        <f t="shared" si="2"/>
        <v>#VALUE!</v>
      </c>
      <c r="K23" s="102" t="e">
        <f t="shared" ref="K23:K61" si="4">M23-D23</f>
        <v>#VALUE!</v>
      </c>
      <c r="L23" s="102" t="e">
        <f t="shared" ref="L23:L61" si="5">ROUND(K23*E23,0)</f>
        <v>#VALUE!</v>
      </c>
      <c r="M23" s="175">
        <v>14696</v>
      </c>
      <c r="N23" s="102" t="e">
        <f t="shared" ref="N23:N61" si="6">ROUND(M23*E23,0)</f>
        <v>#VALUE!</v>
      </c>
      <c r="O23" s="108">
        <f t="shared" si="0"/>
        <v>6</v>
      </c>
    </row>
    <row r="24" spans="1:15">
      <c r="A24" s="87" t="str">
        <f>IF(LOOKUP(O24,PPTO!$J$8:$J$269,PPTO!A$8:A$269)=0," ",LOOKUP(O24,PPTO!$J$8:$J$269,PPTO!A$8:A$269))</f>
        <v>2.02</v>
      </c>
      <c r="B24" s="91" t="str">
        <f>IF(LOOKUP(O24,PPTO!$J$8:J$269,PPTO!B$8:B$269)=0," ",LOOKUP(O24,PPTO!$J$8:J$269,PPTO!B$8:B$269))</f>
        <v xml:space="preserve"> </v>
      </c>
      <c r="C24" s="89" t="str">
        <f>IF(LOOKUP(O24,PPTO!$J$8:$J$269,PPTO!D$8:D$269)=0," ",LOOKUP(O24,PPTO!$J$8:$J$269,PPTO!D$8:D$269))</f>
        <v>M2</v>
      </c>
      <c r="D24" s="90" t="str">
        <f>IF(LOOKUP(O24,PPTO!$J$8:$J$269,PPTO!E$8:E$269)=0," ",LOOKUP(O24,PPTO!$J$8:$J$269,PPTO!E$8:E$269))</f>
        <v xml:space="preserve"> </v>
      </c>
      <c r="E24" s="90" t="str">
        <f>IF(LOOKUP(O24,PPTO!$J$8:$J$269,PPTO!F$8:F$269)=0," ",LOOKUP(O24,PPTO!$J$8:$J$269,PPTO!F$8:F$269))</f>
        <v xml:space="preserve"> </v>
      </c>
      <c r="F24" s="90" t="str">
        <f>IF(LOOKUP(O24,PPTO!$J$8:$J$269,PPTO!H$8:H$269)=0," ",LOOKUP(O24,PPTO!$J$8:$J$269,PPTO!H$8:H$269))</f>
        <v xml:space="preserve"> </v>
      </c>
      <c r="G24" s="476" t="str">
        <f t="shared" si="1"/>
        <v>+</v>
      </c>
      <c r="H24" s="102">
        <v>0</v>
      </c>
      <c r="I24" s="102" t="e">
        <f t="shared" si="3"/>
        <v>#VALUE!</v>
      </c>
      <c r="J24" s="477" t="e">
        <f t="shared" si="2"/>
        <v>#VALUE!</v>
      </c>
      <c r="K24" s="102" t="e">
        <f t="shared" si="4"/>
        <v>#VALUE!</v>
      </c>
      <c r="L24" s="102" t="e">
        <f t="shared" si="5"/>
        <v>#VALUE!</v>
      </c>
      <c r="M24" s="175">
        <v>4134</v>
      </c>
      <c r="N24" s="102" t="e">
        <f t="shared" si="6"/>
        <v>#VALUE!</v>
      </c>
      <c r="O24" s="108">
        <f t="shared" si="0"/>
        <v>7</v>
      </c>
    </row>
    <row r="25" spans="1:15">
      <c r="A25" s="87" t="str">
        <f>IF(LOOKUP(O25,PPTO!$J$8:$J$269,PPTO!A$8:A$269)=0," ",LOOKUP(O25,PPTO!$J$8:$J$269,PPTO!A$8:A$269))</f>
        <v>2.03</v>
      </c>
      <c r="B25" s="91" t="str">
        <f>IF(LOOKUP(O25,PPTO!$J$8:J$269,PPTO!B$8:B$269)=0," ",LOOKUP(O25,PPTO!$J$8:J$269,PPTO!B$8:B$269))</f>
        <v xml:space="preserve"> </v>
      </c>
      <c r="C25" s="89" t="str">
        <f>IF(LOOKUP(O25,PPTO!$J$8:$J$269,PPTO!D$8:D$269)=0," ",LOOKUP(O25,PPTO!$J$8:$J$269,PPTO!D$8:D$269))</f>
        <v>M2</v>
      </c>
      <c r="D25" s="90" t="str">
        <f>IF(LOOKUP(O25,PPTO!$J$8:$J$269,PPTO!E$8:E$269)=0," ",LOOKUP(O25,PPTO!$J$8:$J$269,PPTO!E$8:E$269))</f>
        <v xml:space="preserve"> </v>
      </c>
      <c r="E25" s="90" t="str">
        <f>IF(LOOKUP(O25,PPTO!$J$8:$J$269,PPTO!F$8:F$269)=0," ",LOOKUP(O25,PPTO!$J$8:$J$269,PPTO!F$8:F$269))</f>
        <v xml:space="preserve"> </v>
      </c>
      <c r="F25" s="90" t="str">
        <f>IF(LOOKUP(O25,PPTO!$J$8:$J$269,PPTO!H$8:H$269)=0," ",LOOKUP(O25,PPTO!$J$8:$J$269,PPTO!H$8:H$269))</f>
        <v xml:space="preserve"> </v>
      </c>
      <c r="G25" s="476" t="str">
        <f t="shared" si="1"/>
        <v>+</v>
      </c>
      <c r="H25" s="102">
        <v>0</v>
      </c>
      <c r="I25" s="102" t="e">
        <f t="shared" si="3"/>
        <v>#VALUE!</v>
      </c>
      <c r="J25" s="477" t="e">
        <f t="shared" si="2"/>
        <v>#VALUE!</v>
      </c>
      <c r="K25" s="102" t="e">
        <f t="shared" si="4"/>
        <v>#VALUE!</v>
      </c>
      <c r="L25" s="102" t="e">
        <f t="shared" si="5"/>
        <v>#VALUE!</v>
      </c>
      <c r="M25" s="175">
        <v>14696</v>
      </c>
      <c r="N25" s="102" t="e">
        <f t="shared" si="6"/>
        <v>#VALUE!</v>
      </c>
      <c r="O25" s="108">
        <f t="shared" si="0"/>
        <v>8</v>
      </c>
    </row>
    <row r="26" spans="1:15">
      <c r="A26" s="87" t="str">
        <f>IF(LOOKUP(O26,PPTO!$J$8:$J$269,PPTO!A$8:A$269)=0," ",LOOKUP(O26,PPTO!$J$8:$J$269,PPTO!A$8:A$269))</f>
        <v>2.04</v>
      </c>
      <c r="B26" s="91" t="str">
        <f>IF(LOOKUP(O26,PPTO!$J$8:J$269,PPTO!B$8:B$269)=0," ",LOOKUP(O26,PPTO!$J$8:J$269,PPTO!B$8:B$269))</f>
        <v xml:space="preserve"> </v>
      </c>
      <c r="C26" s="89" t="str">
        <f>IF(LOOKUP(O26,PPTO!$J$8:$J$269,PPTO!D$8:D$269)=0," ",LOOKUP(O26,PPTO!$J$8:$J$269,PPTO!D$8:D$269))</f>
        <v>UND</v>
      </c>
      <c r="D26" s="90" t="str">
        <f>IF(LOOKUP(O26,PPTO!$J$8:$J$269,PPTO!E$8:E$269)=0," ",LOOKUP(O26,PPTO!$J$8:$J$269,PPTO!E$8:E$269))</f>
        <v xml:space="preserve"> </v>
      </c>
      <c r="E26" s="90" t="str">
        <f>IF(LOOKUP(O26,PPTO!$J$8:$J$269,PPTO!F$8:F$269)=0," ",LOOKUP(O26,PPTO!$J$8:$J$269,PPTO!F$8:F$269))</f>
        <v xml:space="preserve"> </v>
      </c>
      <c r="F26" s="90" t="str">
        <f>IF(LOOKUP(O26,PPTO!$J$8:$J$269,PPTO!H$8:H$269)=0," ",LOOKUP(O26,PPTO!$J$8:$J$269,PPTO!H$8:H$269))</f>
        <v xml:space="preserve"> </v>
      </c>
      <c r="G26" s="476" t="str">
        <f t="shared" si="1"/>
        <v>+</v>
      </c>
      <c r="H26" s="102">
        <v>0</v>
      </c>
      <c r="I26" s="102" t="e">
        <f t="shared" si="3"/>
        <v>#VALUE!</v>
      </c>
      <c r="J26" s="477" t="e">
        <f t="shared" si="2"/>
        <v>#VALUE!</v>
      </c>
      <c r="K26" s="102" t="e">
        <f t="shared" si="4"/>
        <v>#VALUE!</v>
      </c>
      <c r="L26" s="102" t="e">
        <f t="shared" si="5"/>
        <v>#VALUE!</v>
      </c>
      <c r="M26" s="175">
        <v>200</v>
      </c>
      <c r="N26" s="102" t="e">
        <f t="shared" si="6"/>
        <v>#VALUE!</v>
      </c>
      <c r="O26" s="108">
        <f t="shared" si="0"/>
        <v>9</v>
      </c>
    </row>
    <row r="27" spans="1:15">
      <c r="A27" s="87">
        <f>IF(LOOKUP(O27,PPTO!$J$8:$J$269,PPTO!A$8:A$269)=0," ",LOOKUP(O27,PPTO!$J$8:$J$269,PPTO!A$8:A$269))</f>
        <v>3</v>
      </c>
      <c r="B27" s="91" t="str">
        <f>IF(LOOKUP(O27,PPTO!$J$8:J$269,PPTO!B$8:B$269)=0," ",LOOKUP(O27,PPTO!$J$8:J$269,PPTO!B$8:B$269))</f>
        <v>MOVIMIENTOS DE TIERRA</v>
      </c>
      <c r="C27" s="89" t="str">
        <f>IF(LOOKUP(O27,PPTO!$J$8:$J$269,PPTO!D$8:D$269)=0," ",LOOKUP(O27,PPTO!$J$8:$J$269,PPTO!D$8:D$269))</f>
        <v xml:space="preserve"> </v>
      </c>
      <c r="D27" s="90" t="str">
        <f>IF(LOOKUP(O27,PPTO!$J$8:$J$269,PPTO!E$8:E$269)=0," ",LOOKUP(O27,PPTO!$J$8:$J$269,PPTO!E$8:E$269))</f>
        <v xml:space="preserve"> </v>
      </c>
      <c r="E27" s="90" t="str">
        <f>IF(LOOKUP(O27,PPTO!$J$8:$J$269,PPTO!F$8:F$269)=0," ",LOOKUP(O27,PPTO!$J$8:$J$269,PPTO!F$8:F$269))</f>
        <v xml:space="preserve"> </v>
      </c>
      <c r="F27" s="90" t="str">
        <f>IF(LOOKUP(O27,PPTO!$J$8:$J$269,PPTO!H$8:H$269)=0," ",LOOKUP(O27,PPTO!$J$8:$J$269,PPTO!H$8:H$269))</f>
        <v xml:space="preserve"> </v>
      </c>
      <c r="G27" s="476" t="str">
        <f t="shared" si="1"/>
        <v>+</v>
      </c>
      <c r="H27" s="102"/>
      <c r="I27" s="102"/>
      <c r="J27" s="477" t="str">
        <f t="shared" si="2"/>
        <v>+</v>
      </c>
      <c r="K27" s="102"/>
      <c r="L27" s="102"/>
      <c r="M27" s="175"/>
      <c r="N27" s="102"/>
      <c r="O27" s="108">
        <f t="shared" si="0"/>
        <v>10</v>
      </c>
    </row>
    <row r="28" spans="1:15">
      <c r="A28" s="87" t="str">
        <f>IF(LOOKUP(O28,PPTO!$J$8:$J$269,PPTO!A$8:A$269)=0," ",LOOKUP(O28,PPTO!$J$8:$J$269,PPTO!A$8:A$269))</f>
        <v>3.01</v>
      </c>
      <c r="B28" s="91" t="str">
        <f>IF(LOOKUP(O28,PPTO!$J$8:J$269,PPTO!B$8:B$269)=0," ",LOOKUP(O28,PPTO!$J$8:J$269,PPTO!B$8:B$269))</f>
        <v xml:space="preserve"> </v>
      </c>
      <c r="C28" s="89" t="str">
        <f>IF(LOOKUP(O28,PPTO!$J$8:$J$269,PPTO!D$8:D$269)=0," ",LOOKUP(O28,PPTO!$J$8:$J$269,PPTO!D$8:D$269))</f>
        <v>M3</v>
      </c>
      <c r="D28" s="90" t="str">
        <f>IF(LOOKUP(O28,PPTO!$J$8:$J$269,PPTO!E$8:E$269)=0," ",LOOKUP(O28,PPTO!$J$8:$J$269,PPTO!E$8:E$269))</f>
        <v xml:space="preserve"> </v>
      </c>
      <c r="E28" s="90" t="str">
        <f>IF(LOOKUP(O28,PPTO!$J$8:$J$269,PPTO!F$8:F$269)=0," ",LOOKUP(O28,PPTO!$J$8:$J$269,PPTO!F$8:F$269))</f>
        <v xml:space="preserve"> </v>
      </c>
      <c r="F28" s="90" t="str">
        <f>IF(LOOKUP(O28,PPTO!$J$8:$J$269,PPTO!H$8:H$269)=0," ",LOOKUP(O28,PPTO!$J$8:$J$269,PPTO!H$8:H$269))</f>
        <v xml:space="preserve"> </v>
      </c>
      <c r="G28" s="476" t="str">
        <f t="shared" si="1"/>
        <v>+</v>
      </c>
      <c r="H28" s="102">
        <v>0</v>
      </c>
      <c r="I28" s="102" t="e">
        <f t="shared" si="3"/>
        <v>#VALUE!</v>
      </c>
      <c r="J28" s="477" t="e">
        <f t="shared" si="2"/>
        <v>#VALUE!</v>
      </c>
      <c r="K28" s="102" t="e">
        <f t="shared" si="4"/>
        <v>#VALUE!</v>
      </c>
      <c r="L28" s="102" t="e">
        <f t="shared" si="5"/>
        <v>#VALUE!</v>
      </c>
      <c r="M28" s="175">
        <v>243</v>
      </c>
      <c r="N28" s="102" t="e">
        <f t="shared" si="6"/>
        <v>#VALUE!</v>
      </c>
      <c r="O28" s="108">
        <f t="shared" si="0"/>
        <v>11</v>
      </c>
    </row>
    <row r="29" spans="1:15">
      <c r="A29" s="87" t="str">
        <f>IF(LOOKUP(O29,PPTO!$J$8:$J$269,PPTO!A$8:A$269)=0," ",LOOKUP(O29,PPTO!$J$8:$J$269,PPTO!A$8:A$269))</f>
        <v>3.02</v>
      </c>
      <c r="B29" s="91" t="str">
        <f>IF(LOOKUP(O29,PPTO!$J$8:J$269,PPTO!B$8:B$269)=0," ",LOOKUP(O29,PPTO!$J$8:J$269,PPTO!B$8:B$269))</f>
        <v xml:space="preserve"> </v>
      </c>
      <c r="C29" s="89" t="str">
        <f>IF(LOOKUP(O29,PPTO!$J$8:$J$269,PPTO!D$8:D$269)=0," ",LOOKUP(O29,PPTO!$J$8:$J$269,PPTO!D$8:D$269))</f>
        <v>M3</v>
      </c>
      <c r="D29" s="90" t="str">
        <f>IF(LOOKUP(O29,PPTO!$J$8:$J$269,PPTO!E$8:E$269)=0," ",LOOKUP(O29,PPTO!$J$8:$J$269,PPTO!E$8:E$269))</f>
        <v xml:space="preserve"> </v>
      </c>
      <c r="E29" s="90" t="str">
        <f>IF(LOOKUP(O29,PPTO!$J$8:$J$269,PPTO!F$8:F$269)=0," ",LOOKUP(O29,PPTO!$J$8:$J$269,PPTO!F$8:F$269))</f>
        <v xml:space="preserve"> </v>
      </c>
      <c r="F29" s="90" t="str">
        <f>IF(LOOKUP(O29,PPTO!$J$8:$J$269,PPTO!H$8:H$269)=0," ",LOOKUP(O29,PPTO!$J$8:$J$269,PPTO!H$8:H$269))</f>
        <v xml:space="preserve"> </v>
      </c>
      <c r="G29" s="476" t="str">
        <f t="shared" si="1"/>
        <v>+</v>
      </c>
      <c r="H29" s="102">
        <v>0</v>
      </c>
      <c r="I29" s="102" t="e">
        <f t="shared" si="3"/>
        <v>#VALUE!</v>
      </c>
      <c r="J29" s="477" t="e">
        <f t="shared" si="2"/>
        <v>#VALUE!</v>
      </c>
      <c r="K29" s="102" t="e">
        <f t="shared" si="4"/>
        <v>#VALUE!</v>
      </c>
      <c r="L29" s="102" t="e">
        <f t="shared" si="5"/>
        <v>#VALUE!</v>
      </c>
      <c r="M29" s="175">
        <v>2018.33</v>
      </c>
      <c r="N29" s="102" t="e">
        <f t="shared" si="6"/>
        <v>#VALUE!</v>
      </c>
      <c r="O29" s="108">
        <f>O28+1</f>
        <v>12</v>
      </c>
    </row>
    <row r="30" spans="1:15">
      <c r="A30" s="87" t="str">
        <f>IF(LOOKUP(O30,PPTO!$J$8:$J$269,PPTO!A$8:A$269)=0," ",LOOKUP(O30,PPTO!$J$8:$J$269,PPTO!A$8:A$269))</f>
        <v>3.03</v>
      </c>
      <c r="B30" s="91" t="str">
        <f>IF(LOOKUP(O30,PPTO!$J$8:J$269,PPTO!B$8:B$269)=0," ",LOOKUP(O30,PPTO!$J$8:J$269,PPTO!B$8:B$269))</f>
        <v xml:space="preserve"> </v>
      </c>
      <c r="C30" s="89" t="str">
        <f>IF(LOOKUP(O30,PPTO!$J$8:$J$269,PPTO!D$8:D$269)=0," ",LOOKUP(O30,PPTO!$J$8:$J$269,PPTO!D$8:D$269))</f>
        <v>M3</v>
      </c>
      <c r="D30" s="90" t="str">
        <f>IF(LOOKUP(O30,PPTO!$J$8:$J$269,PPTO!E$8:E$269)=0," ",LOOKUP(O30,PPTO!$J$8:$J$269,PPTO!E$8:E$269))</f>
        <v xml:space="preserve"> </v>
      </c>
      <c r="E30" s="90" t="str">
        <f>IF(LOOKUP(O30,PPTO!$J$8:$J$269,PPTO!F$8:F$269)=0," ",LOOKUP(O30,PPTO!$J$8:$J$269,PPTO!F$8:F$269))</f>
        <v xml:space="preserve"> </v>
      </c>
      <c r="F30" s="90" t="str">
        <f>IF(LOOKUP(O30,PPTO!$J$8:$J$269,PPTO!H$8:H$269)=0," ",LOOKUP(O30,PPTO!$J$8:$J$269,PPTO!H$8:H$269))</f>
        <v xml:space="preserve"> </v>
      </c>
      <c r="G30" s="476" t="str">
        <f t="shared" si="1"/>
        <v>+</v>
      </c>
      <c r="H30" s="102">
        <v>0</v>
      </c>
      <c r="I30" s="102" t="e">
        <f t="shared" si="3"/>
        <v>#VALUE!</v>
      </c>
      <c r="J30" s="477" t="e">
        <f t="shared" si="2"/>
        <v>#VALUE!</v>
      </c>
      <c r="K30" s="102" t="e">
        <f t="shared" si="4"/>
        <v>#VALUE!</v>
      </c>
      <c r="L30" s="102" t="e">
        <f t="shared" si="5"/>
        <v>#VALUE!</v>
      </c>
      <c r="M30" s="175">
        <v>1587.38</v>
      </c>
      <c r="N30" s="102" t="e">
        <f t="shared" si="6"/>
        <v>#VALUE!</v>
      </c>
      <c r="O30" s="108">
        <f>O29+1</f>
        <v>13</v>
      </c>
    </row>
    <row r="31" spans="1:15">
      <c r="A31" s="87" t="str">
        <f>IF(LOOKUP(O31,PPTO!$J$8:$J$269,PPTO!A$8:A$269)=0," ",LOOKUP(O31,PPTO!$J$8:$J$269,PPTO!A$8:A$269))</f>
        <v>3.04</v>
      </c>
      <c r="B31" s="91" t="str">
        <f>IF(LOOKUP(O31,PPTO!$J$8:J$269,PPTO!B$8:B$269)=0," ",LOOKUP(O31,PPTO!$J$8:J$269,PPTO!B$8:B$269))</f>
        <v xml:space="preserve"> </v>
      </c>
      <c r="C31" s="89" t="str">
        <f>IF(LOOKUP(O31,PPTO!$J$8:$J$269,PPTO!D$8:D$269)=0," ",LOOKUP(O31,PPTO!$J$8:$J$269,PPTO!D$8:D$269))</f>
        <v>M3</v>
      </c>
      <c r="D31" s="90" t="str">
        <f>IF(LOOKUP(O31,PPTO!$J$8:$J$269,PPTO!E$8:E$269)=0," ",LOOKUP(O31,PPTO!$J$8:$J$269,PPTO!E$8:E$269))</f>
        <v xml:space="preserve"> </v>
      </c>
      <c r="E31" s="90" t="str">
        <f>IF(LOOKUP(O31,PPTO!$J$8:$J$269,PPTO!F$8:F$269)=0," ",LOOKUP(O31,PPTO!$J$8:$J$269,PPTO!F$8:F$269))</f>
        <v xml:space="preserve"> </v>
      </c>
      <c r="F31" s="90" t="str">
        <f>IF(LOOKUP(O31,PPTO!$J$8:$J$269,PPTO!H$8:H$269)=0," ",LOOKUP(O31,PPTO!$J$8:$J$269,PPTO!H$8:H$269))</f>
        <v xml:space="preserve"> </v>
      </c>
      <c r="G31" s="476" t="str">
        <f t="shared" si="1"/>
        <v>+</v>
      </c>
      <c r="H31" s="102">
        <v>0</v>
      </c>
      <c r="I31" s="102" t="e">
        <f t="shared" si="3"/>
        <v>#VALUE!</v>
      </c>
      <c r="J31" s="477" t="e">
        <f t="shared" si="2"/>
        <v>#VALUE!</v>
      </c>
      <c r="K31" s="102" t="e">
        <f t="shared" si="4"/>
        <v>#VALUE!</v>
      </c>
      <c r="L31" s="102" t="e">
        <f t="shared" si="5"/>
        <v>#VALUE!</v>
      </c>
      <c r="M31" s="175">
        <v>21041</v>
      </c>
      <c r="N31" s="102" t="e">
        <f t="shared" si="6"/>
        <v>#VALUE!</v>
      </c>
      <c r="O31" s="108">
        <f t="shared" si="0"/>
        <v>14</v>
      </c>
    </row>
    <row r="32" spans="1:15">
      <c r="A32" s="87" t="str">
        <f>IF(LOOKUP(O32,PPTO!$J$8:$J$269,PPTO!A$8:A$269)=0," ",LOOKUP(O32,PPTO!$J$8:$J$269,PPTO!A$8:A$269))</f>
        <v>3.05</v>
      </c>
      <c r="B32" s="91" t="str">
        <f>IF(LOOKUP(O32,PPTO!$J$8:J$269,PPTO!B$8:B$269)=0," ",LOOKUP(O32,PPTO!$J$8:J$269,PPTO!B$8:B$269))</f>
        <v xml:space="preserve"> </v>
      </c>
      <c r="C32" s="89" t="str">
        <f>IF(LOOKUP(O32,PPTO!$J$8:$J$269,PPTO!D$8:D$269)=0," ",LOOKUP(O32,PPTO!$J$8:$J$269,PPTO!D$8:D$269))</f>
        <v>M3</v>
      </c>
      <c r="D32" s="90" t="str">
        <f>IF(LOOKUP(O32,PPTO!$J$8:$J$269,PPTO!E$8:E$269)=0," ",LOOKUP(O32,PPTO!$J$8:$J$269,PPTO!E$8:E$269))</f>
        <v xml:space="preserve"> </v>
      </c>
      <c r="E32" s="90" t="str">
        <f>IF(LOOKUP(O32,PPTO!$J$8:$J$269,PPTO!F$8:F$269)=0," ",LOOKUP(O32,PPTO!$J$8:$J$269,PPTO!F$8:F$269))</f>
        <v xml:space="preserve"> </v>
      </c>
      <c r="F32" s="90" t="str">
        <f>IF(LOOKUP(O32,PPTO!$J$8:$J$269,PPTO!H$8:H$269)=0," ",LOOKUP(O32,PPTO!$J$8:$J$269,PPTO!H$8:H$269))</f>
        <v xml:space="preserve"> </v>
      </c>
      <c r="G32" s="476" t="str">
        <f t="shared" si="1"/>
        <v>+</v>
      </c>
      <c r="H32" s="102">
        <v>0</v>
      </c>
      <c r="I32" s="102" t="e">
        <f t="shared" si="3"/>
        <v>#VALUE!</v>
      </c>
      <c r="J32" s="477" t="e">
        <f t="shared" si="2"/>
        <v>#VALUE!</v>
      </c>
      <c r="K32" s="102" t="e">
        <f t="shared" si="4"/>
        <v>#VALUE!</v>
      </c>
      <c r="L32" s="102" t="e">
        <f t="shared" si="5"/>
        <v>#VALUE!</v>
      </c>
      <c r="M32" s="175">
        <v>936.85</v>
      </c>
      <c r="N32" s="102" t="e">
        <f t="shared" si="6"/>
        <v>#VALUE!</v>
      </c>
      <c r="O32" s="108">
        <f t="shared" si="0"/>
        <v>15</v>
      </c>
    </row>
    <row r="33" spans="1:15">
      <c r="A33" s="87" t="str">
        <f>IF(LOOKUP(O33,PPTO!$J$8:$J$269,PPTO!A$8:A$269)=0," ",LOOKUP(O33,PPTO!$J$8:$J$269,PPTO!A$8:A$269))</f>
        <v>3.06</v>
      </c>
      <c r="B33" s="91" t="str">
        <f>IF(LOOKUP(O33,PPTO!$J$8:J$269,PPTO!B$8:B$269)=0," ",LOOKUP(O33,PPTO!$J$8:J$269,PPTO!B$8:B$269))</f>
        <v xml:space="preserve"> </v>
      </c>
      <c r="C33" s="89" t="str">
        <f>IF(LOOKUP(O33,PPTO!$J$8:$J$269,PPTO!D$8:D$269)=0," ",LOOKUP(O33,PPTO!$J$8:$J$269,PPTO!D$8:D$269))</f>
        <v>M3</v>
      </c>
      <c r="D33" s="90" t="str">
        <f>IF(LOOKUP(O33,PPTO!$J$8:$J$269,PPTO!E$8:E$269)=0," ",LOOKUP(O33,PPTO!$J$8:$J$269,PPTO!E$8:E$269))</f>
        <v xml:space="preserve"> </v>
      </c>
      <c r="E33" s="90" t="str">
        <f>IF(LOOKUP(O33,PPTO!$J$8:$J$269,PPTO!F$8:F$269)=0," ",LOOKUP(O33,PPTO!$J$8:$J$269,PPTO!F$8:F$269))</f>
        <v xml:space="preserve"> </v>
      </c>
      <c r="F33" s="90" t="str">
        <f>IF(LOOKUP(O33,PPTO!$J$8:$J$269,PPTO!H$8:H$269)=0," ",LOOKUP(O33,PPTO!$J$8:$J$269,PPTO!H$8:H$269))</f>
        <v xml:space="preserve"> </v>
      </c>
      <c r="G33" s="476" t="str">
        <f t="shared" si="1"/>
        <v>+</v>
      </c>
      <c r="H33" s="102">
        <v>0</v>
      </c>
      <c r="I33" s="102" t="e">
        <f t="shared" si="3"/>
        <v>#VALUE!</v>
      </c>
      <c r="J33" s="477" t="e">
        <f t="shared" si="2"/>
        <v>#VALUE!</v>
      </c>
      <c r="K33" s="102" t="e">
        <f t="shared" si="4"/>
        <v>#VALUE!</v>
      </c>
      <c r="L33" s="102" t="e">
        <f t="shared" si="5"/>
        <v>#VALUE!</v>
      </c>
      <c r="M33" s="175">
        <v>2018.33</v>
      </c>
      <c r="N33" s="102" t="e">
        <f t="shared" si="6"/>
        <v>#VALUE!</v>
      </c>
      <c r="O33" s="108">
        <f t="shared" si="0"/>
        <v>16</v>
      </c>
    </row>
    <row r="34" spans="1:15">
      <c r="A34" s="87" t="str">
        <f>IF(LOOKUP(O34,PPTO!$J$8:$J$269,PPTO!A$8:A$269)=0," ",LOOKUP(O34,PPTO!$J$8:$J$269,PPTO!A$8:A$269))</f>
        <v>3.07</v>
      </c>
      <c r="B34" s="91" t="str">
        <f>IF(LOOKUP(O34,PPTO!$J$8:J$269,PPTO!B$8:B$269)=0," ",LOOKUP(O34,PPTO!$J$8:J$269,PPTO!B$8:B$269))</f>
        <v xml:space="preserve"> </v>
      </c>
      <c r="C34" s="89" t="str">
        <f>IF(LOOKUP(O34,PPTO!$J$8:$J$269,PPTO!D$8:D$269)=0," ",LOOKUP(O34,PPTO!$J$8:$J$269,PPTO!D$8:D$269))</f>
        <v>M3</v>
      </c>
      <c r="D34" s="90" t="str">
        <f>IF(LOOKUP(O34,PPTO!$J$8:$J$269,PPTO!E$8:E$269)=0," ",LOOKUP(O34,PPTO!$J$8:$J$269,PPTO!E$8:E$269))</f>
        <v xml:space="preserve"> </v>
      </c>
      <c r="E34" s="90" t="str">
        <f>IF(LOOKUP(O34,PPTO!$J$8:$J$269,PPTO!F$8:F$269)=0," ",LOOKUP(O34,PPTO!$J$8:$J$269,PPTO!F$8:F$269))</f>
        <v xml:space="preserve"> </v>
      </c>
      <c r="F34" s="90" t="str">
        <f>IF(LOOKUP(O34,PPTO!$J$8:$J$269,PPTO!H$8:H$269)=0," ",LOOKUP(O34,PPTO!$J$8:$J$269,PPTO!H$8:H$269))</f>
        <v xml:space="preserve"> </v>
      </c>
      <c r="G34" s="476" t="str">
        <f t="shared" si="1"/>
        <v>+</v>
      </c>
      <c r="H34" s="102">
        <v>0</v>
      </c>
      <c r="I34" s="102" t="e">
        <f t="shared" si="3"/>
        <v>#VALUE!</v>
      </c>
      <c r="J34" s="477" t="e">
        <f t="shared" si="2"/>
        <v>#VALUE!</v>
      </c>
      <c r="K34" s="102" t="e">
        <f t="shared" si="4"/>
        <v>#VALUE!</v>
      </c>
      <c r="L34" s="102" t="e">
        <f t="shared" si="5"/>
        <v>#VALUE!</v>
      </c>
      <c r="M34" s="175">
        <v>1587.38</v>
      </c>
      <c r="N34" s="102" t="e">
        <f t="shared" si="6"/>
        <v>#VALUE!</v>
      </c>
      <c r="O34" s="108">
        <f t="shared" si="0"/>
        <v>17</v>
      </c>
    </row>
    <row r="35" spans="1:15">
      <c r="A35" s="87" t="str">
        <f>IF(LOOKUP(O35,PPTO!$J$8:$J$269,PPTO!A$8:A$269)=0," ",LOOKUP(O35,PPTO!$J$8:$J$269,PPTO!A$8:A$269))</f>
        <v>3.08</v>
      </c>
      <c r="B35" s="91" t="str">
        <f>IF(LOOKUP(O35,PPTO!$J$8:J$269,PPTO!B$8:B$269)=0," ",LOOKUP(O35,PPTO!$J$8:J$269,PPTO!B$8:B$269))</f>
        <v xml:space="preserve"> </v>
      </c>
      <c r="C35" s="89" t="str">
        <f>IF(LOOKUP(O35,PPTO!$J$8:$J$269,PPTO!D$8:D$269)=0," ",LOOKUP(O35,PPTO!$J$8:$J$269,PPTO!D$8:D$269))</f>
        <v>M2</v>
      </c>
      <c r="D35" s="90" t="str">
        <f>IF(LOOKUP(O35,PPTO!$J$8:$J$269,PPTO!E$8:E$269)=0," ",LOOKUP(O35,PPTO!$J$8:$J$269,PPTO!E$8:E$269))</f>
        <v xml:space="preserve"> </v>
      </c>
      <c r="E35" s="90" t="str">
        <f>IF(LOOKUP(O35,PPTO!$J$8:$J$269,PPTO!F$8:F$269)=0," ",LOOKUP(O35,PPTO!$J$8:$J$269,PPTO!F$8:F$269))</f>
        <v xml:space="preserve"> </v>
      </c>
      <c r="F35" s="90" t="str">
        <f>IF(LOOKUP(O35,PPTO!$J$8:$J$269,PPTO!H$8:H$269)=0," ",LOOKUP(O35,PPTO!$J$8:$J$269,PPTO!H$8:H$269))</f>
        <v xml:space="preserve"> </v>
      </c>
      <c r="G35" s="476" t="str">
        <f t="shared" si="1"/>
        <v>+</v>
      </c>
      <c r="H35" s="102">
        <v>0</v>
      </c>
      <c r="I35" s="102" t="e">
        <f t="shared" si="3"/>
        <v>#VALUE!</v>
      </c>
      <c r="J35" s="477" t="e">
        <f t="shared" si="2"/>
        <v>#VALUE!</v>
      </c>
      <c r="K35" s="102" t="e">
        <f t="shared" si="4"/>
        <v>#VALUE!</v>
      </c>
      <c r="L35" s="102" t="e">
        <f t="shared" si="5"/>
        <v>#VALUE!</v>
      </c>
      <c r="M35" s="175">
        <v>10500</v>
      </c>
      <c r="N35" s="102" t="e">
        <f t="shared" si="6"/>
        <v>#VALUE!</v>
      </c>
      <c r="O35" s="108">
        <f t="shared" si="0"/>
        <v>18</v>
      </c>
    </row>
    <row r="36" spans="1:15">
      <c r="A36" s="87" t="str">
        <f>IF(LOOKUP(O36,PPTO!$J$8:$J$269,PPTO!A$8:A$269)=0," ",LOOKUP(O36,PPTO!$J$8:$J$269,PPTO!A$8:A$269))</f>
        <v>3.09</v>
      </c>
      <c r="B36" s="91" t="str">
        <f>IF(LOOKUP(O36,PPTO!$J$8:J$269,PPTO!B$8:B$269)=0," ",LOOKUP(O36,PPTO!$J$8:J$269,PPTO!B$8:B$269))</f>
        <v xml:space="preserve"> </v>
      </c>
      <c r="C36" s="89" t="str">
        <f>IF(LOOKUP(O36,PPTO!$J$8:$J$269,PPTO!D$8:D$269)=0," ",LOOKUP(O36,PPTO!$J$8:$J$269,PPTO!D$8:D$269))</f>
        <v>UND</v>
      </c>
      <c r="D36" s="90" t="str">
        <f>IF(LOOKUP(O36,PPTO!$J$8:$J$269,PPTO!E$8:E$269)=0," ",LOOKUP(O36,PPTO!$J$8:$J$269,PPTO!E$8:E$269))</f>
        <v xml:space="preserve"> </v>
      </c>
      <c r="E36" s="90" t="str">
        <f>IF(LOOKUP(O36,PPTO!$J$8:$J$269,PPTO!F$8:F$269)=0," ",LOOKUP(O36,PPTO!$J$8:$J$269,PPTO!F$8:F$269))</f>
        <v xml:space="preserve"> </v>
      </c>
      <c r="F36" s="90" t="str">
        <f>IF(LOOKUP(O36,PPTO!$J$8:$J$269,PPTO!H$8:H$269)=0," ",LOOKUP(O36,PPTO!$J$8:$J$269,PPTO!H$8:H$269))</f>
        <v xml:space="preserve"> </v>
      </c>
      <c r="G36" s="476" t="str">
        <f t="shared" si="1"/>
        <v>+</v>
      </c>
      <c r="H36" s="102">
        <v>0</v>
      </c>
      <c r="I36" s="102" t="e">
        <f t="shared" si="3"/>
        <v>#VALUE!</v>
      </c>
      <c r="J36" s="477" t="e">
        <f t="shared" si="2"/>
        <v>#VALUE!</v>
      </c>
      <c r="K36" s="102" t="e">
        <f t="shared" si="4"/>
        <v>#VALUE!</v>
      </c>
      <c r="L36" s="102" t="e">
        <f t="shared" si="5"/>
        <v>#VALUE!</v>
      </c>
      <c r="M36" s="175">
        <v>936.85</v>
      </c>
      <c r="N36" s="102" t="e">
        <f t="shared" si="6"/>
        <v>#VALUE!</v>
      </c>
      <c r="O36" s="108">
        <f t="shared" si="0"/>
        <v>19</v>
      </c>
    </row>
    <row r="37" spans="1:15">
      <c r="A37" s="87" t="str">
        <f>IF(LOOKUP(O37,PPTO!$J$8:$J$269,PPTO!A$8:A$269)=0," ",LOOKUP(O37,PPTO!$J$8:$J$269,PPTO!A$8:A$269))</f>
        <v>3.10</v>
      </c>
      <c r="B37" s="91" t="str">
        <f>IF(LOOKUP(O37,PPTO!$J$8:J$269,PPTO!B$8:B$269)=0," ",LOOKUP(O37,PPTO!$J$8:J$269,PPTO!B$8:B$269))</f>
        <v xml:space="preserve"> </v>
      </c>
      <c r="C37" s="89" t="str">
        <f>IF(LOOKUP(O37,PPTO!$J$8:$J$269,PPTO!D$8:D$269)=0," ",LOOKUP(O37,PPTO!$J$8:$J$269,PPTO!D$8:D$269))</f>
        <v>M3</v>
      </c>
      <c r="D37" s="90" t="str">
        <f>IF(LOOKUP(O37,PPTO!$J$8:$J$269,PPTO!E$8:E$269)=0," ",LOOKUP(O37,PPTO!$J$8:$J$269,PPTO!E$8:E$269))</f>
        <v xml:space="preserve"> </v>
      </c>
      <c r="E37" s="90" t="str">
        <f>IF(LOOKUP(O37,PPTO!$J$8:$J$269,PPTO!F$8:F$269)=0," ",LOOKUP(O37,PPTO!$J$8:$J$269,PPTO!F$8:F$269))</f>
        <v xml:space="preserve"> </v>
      </c>
      <c r="F37" s="90" t="str">
        <f>IF(LOOKUP(O37,PPTO!$J$8:$J$269,PPTO!H$8:H$269)=0," ",LOOKUP(O37,PPTO!$J$8:$J$269,PPTO!H$8:H$269))</f>
        <v xml:space="preserve"> </v>
      </c>
      <c r="G37" s="476" t="str">
        <f t="shared" si="1"/>
        <v>+</v>
      </c>
      <c r="H37" s="102">
        <v>0</v>
      </c>
      <c r="I37" s="102" t="e">
        <f t="shared" si="3"/>
        <v>#VALUE!</v>
      </c>
      <c r="J37" s="477" t="e">
        <f t="shared" si="2"/>
        <v>#VALUE!</v>
      </c>
      <c r="K37" s="102" t="e">
        <f t="shared" si="4"/>
        <v>#VALUE!</v>
      </c>
      <c r="L37" s="102" t="e">
        <f t="shared" si="5"/>
        <v>#VALUE!</v>
      </c>
      <c r="M37" s="175">
        <v>2018.33</v>
      </c>
      <c r="N37" s="102" t="e">
        <f t="shared" si="6"/>
        <v>#VALUE!</v>
      </c>
      <c r="O37" s="108">
        <f t="shared" si="0"/>
        <v>20</v>
      </c>
    </row>
    <row r="38" spans="1:15">
      <c r="A38" s="87" t="str">
        <f>IF(LOOKUP(O38,PPTO!$J$8:$J$269,PPTO!A$8:A$269)=0," ",LOOKUP(O38,PPTO!$J$8:$J$269,PPTO!A$8:A$269))</f>
        <v>3.11</v>
      </c>
      <c r="B38" s="91" t="str">
        <f>IF(LOOKUP(O38,PPTO!$J$8:J$269,PPTO!B$8:B$269)=0," ",LOOKUP(O38,PPTO!$J$8:J$269,PPTO!B$8:B$269))</f>
        <v xml:space="preserve"> </v>
      </c>
      <c r="C38" s="89" t="str">
        <f>IF(LOOKUP(O38,PPTO!$J$8:$J$269,PPTO!D$8:D$269)=0," ",LOOKUP(O38,PPTO!$J$8:$J$269,PPTO!D$8:D$269))</f>
        <v>M3</v>
      </c>
      <c r="D38" s="90" t="str">
        <f>IF(LOOKUP(O38,PPTO!$J$8:$J$269,PPTO!E$8:E$269)=0," ",LOOKUP(O38,PPTO!$J$8:$J$269,PPTO!E$8:E$269))</f>
        <v xml:space="preserve"> </v>
      </c>
      <c r="E38" s="90" t="str">
        <f>IF(LOOKUP(O38,PPTO!$J$8:$J$269,PPTO!F$8:F$269)=0," ",LOOKUP(O38,PPTO!$J$8:$J$269,PPTO!F$8:F$269))</f>
        <v xml:space="preserve"> </v>
      </c>
      <c r="F38" s="90" t="str">
        <f>IF(LOOKUP(O38,PPTO!$J$8:$J$269,PPTO!H$8:H$269)=0," ",LOOKUP(O38,PPTO!$J$8:$J$269,PPTO!H$8:H$269))</f>
        <v xml:space="preserve"> </v>
      </c>
      <c r="G38" s="476" t="str">
        <f t="shared" si="1"/>
        <v>+</v>
      </c>
      <c r="H38" s="102">
        <v>0</v>
      </c>
      <c r="I38" s="102" t="e">
        <f t="shared" si="3"/>
        <v>#VALUE!</v>
      </c>
      <c r="J38" s="477" t="e">
        <f t="shared" si="2"/>
        <v>#VALUE!</v>
      </c>
      <c r="K38" s="102" t="e">
        <f t="shared" si="4"/>
        <v>#VALUE!</v>
      </c>
      <c r="L38" s="102" t="e">
        <f t="shared" si="5"/>
        <v>#VALUE!</v>
      </c>
      <c r="M38" s="175">
        <v>18000</v>
      </c>
      <c r="N38" s="102" t="e">
        <f t="shared" si="6"/>
        <v>#VALUE!</v>
      </c>
      <c r="O38" s="108">
        <f t="shared" si="0"/>
        <v>21</v>
      </c>
    </row>
    <row r="39" spans="1:15">
      <c r="A39" s="87" t="str">
        <f>IF(LOOKUP(O39,PPTO!$J$8:$J$269,PPTO!A$8:A$269)=0," ",LOOKUP(O39,PPTO!$J$8:$J$269,PPTO!A$8:A$269))</f>
        <v>3.12</v>
      </c>
      <c r="B39" s="91" t="str">
        <f>IF(LOOKUP(O39,PPTO!$J$8:J$269,PPTO!B$8:B$269)=0," ",LOOKUP(O39,PPTO!$J$8:J$269,PPTO!B$8:B$269))</f>
        <v xml:space="preserve"> </v>
      </c>
      <c r="C39" s="89" t="str">
        <f>IF(LOOKUP(O39,PPTO!$J$8:$J$269,PPTO!D$8:D$269)=0," ",LOOKUP(O39,PPTO!$J$8:$J$269,PPTO!D$8:D$269))</f>
        <v>M3</v>
      </c>
      <c r="D39" s="90" t="str">
        <f>IF(LOOKUP(O39,PPTO!$J$8:$J$269,PPTO!E$8:E$269)=0," ",LOOKUP(O39,PPTO!$J$8:$J$269,PPTO!E$8:E$269))</f>
        <v xml:space="preserve"> </v>
      </c>
      <c r="E39" s="90" t="str">
        <f>IF(LOOKUP(O39,PPTO!$J$8:$J$269,PPTO!F$8:F$269)=0," ",LOOKUP(O39,PPTO!$J$8:$J$269,PPTO!F$8:F$269))</f>
        <v xml:space="preserve"> </v>
      </c>
      <c r="F39" s="90" t="str">
        <f>IF(LOOKUP(O39,PPTO!$J$8:$J$269,PPTO!H$8:H$269)=0," ",LOOKUP(O39,PPTO!$J$8:$J$269,PPTO!H$8:H$269))</f>
        <v xml:space="preserve"> </v>
      </c>
      <c r="G39" s="476" t="str">
        <f t="shared" si="1"/>
        <v>+</v>
      </c>
      <c r="H39" s="102">
        <v>0</v>
      </c>
      <c r="I39" s="102" t="e">
        <f t="shared" si="3"/>
        <v>#VALUE!</v>
      </c>
      <c r="J39" s="477" t="e">
        <f t="shared" si="2"/>
        <v>#VALUE!</v>
      </c>
      <c r="K39" s="102" t="e">
        <f t="shared" si="4"/>
        <v>#VALUE!</v>
      </c>
      <c r="L39" s="102" t="e">
        <f t="shared" si="5"/>
        <v>#VALUE!</v>
      </c>
      <c r="M39" s="175">
        <v>3173.33</v>
      </c>
      <c r="N39" s="102" t="e">
        <f t="shared" si="6"/>
        <v>#VALUE!</v>
      </c>
      <c r="O39" s="108">
        <f t="shared" si="0"/>
        <v>22</v>
      </c>
    </row>
    <row r="40" spans="1:15">
      <c r="A40" s="87">
        <f>IF(LOOKUP(O40,PPTO!$J$8:$J$269,PPTO!A$8:A$269)=0," ",LOOKUP(O40,PPTO!$J$8:$J$269,PPTO!A$8:A$269))</f>
        <v>4</v>
      </c>
      <c r="B40" s="91" t="str">
        <f>IF(LOOKUP(O40,PPTO!$J$8:J$269,PPTO!B$8:B$269)=0," ",LOOKUP(O40,PPTO!$J$8:J$269,PPTO!B$8:B$269))</f>
        <v>TUBERIA DE ALCANTARILLADO</v>
      </c>
      <c r="C40" s="89" t="str">
        <f>IF(LOOKUP(O40,PPTO!$J$8:$J$269,PPTO!D$8:D$269)=0," ",LOOKUP(O40,PPTO!$J$8:$J$269,PPTO!D$8:D$269))</f>
        <v xml:space="preserve"> </v>
      </c>
      <c r="D40" s="90" t="str">
        <f>IF(LOOKUP(O40,PPTO!$J$8:$J$269,PPTO!E$8:E$269)=0," ",LOOKUP(O40,PPTO!$J$8:$J$269,PPTO!E$8:E$269))</f>
        <v xml:space="preserve"> </v>
      </c>
      <c r="E40" s="90" t="str">
        <f>IF(LOOKUP(O40,PPTO!$J$8:$J$269,PPTO!F$8:F$269)=0," ",LOOKUP(O40,PPTO!$J$8:$J$269,PPTO!F$8:F$269))</f>
        <v xml:space="preserve"> </v>
      </c>
      <c r="F40" s="90" t="str">
        <f>IF(LOOKUP(O40,PPTO!$J$8:$J$269,PPTO!H$8:H$269)=0," ",LOOKUP(O40,PPTO!$J$8:$J$269,PPTO!H$8:H$269))</f>
        <v xml:space="preserve"> </v>
      </c>
      <c r="G40" s="476" t="str">
        <f t="shared" si="1"/>
        <v>+</v>
      </c>
      <c r="H40" s="102"/>
      <c r="I40" s="102"/>
      <c r="J40" s="477" t="str">
        <f t="shared" si="2"/>
        <v>+</v>
      </c>
      <c r="K40" s="102"/>
      <c r="L40" s="102"/>
      <c r="M40" s="175"/>
      <c r="N40" s="102"/>
      <c r="O40" s="108">
        <f t="shared" si="0"/>
        <v>23</v>
      </c>
    </row>
    <row r="41" spans="1:15">
      <c r="A41" s="87" t="str">
        <f>IF(LOOKUP(O41,PPTO!$J$8:$J$269,PPTO!A$8:A$269)=0," ",LOOKUP(O41,PPTO!$J$8:$J$269,PPTO!A$8:A$269))</f>
        <v>4.01</v>
      </c>
      <c r="B41" s="91" t="str">
        <f>IF(LOOKUP(O41,PPTO!$J$8:J$269,PPTO!B$8:B$269)=0," ",LOOKUP(O41,PPTO!$J$8:J$269,PPTO!B$8:B$269))</f>
        <v xml:space="preserve"> </v>
      </c>
      <c r="C41" s="89" t="str">
        <f>IF(LOOKUP(O41,PPTO!$J$8:$J$269,PPTO!D$8:D$269)=0," ",LOOKUP(O41,PPTO!$J$8:$J$269,PPTO!D$8:D$269))</f>
        <v>ML</v>
      </c>
      <c r="D41" s="90" t="str">
        <f>IF(LOOKUP(O41,PPTO!$J$8:$J$269,PPTO!E$8:E$269)=0," ",LOOKUP(O41,PPTO!$J$8:$J$269,PPTO!E$8:E$269))</f>
        <v xml:space="preserve"> </v>
      </c>
      <c r="E41" s="90" t="str">
        <f>IF(LOOKUP(O41,PPTO!$J$8:$J$269,PPTO!F$8:F$269)=0," ",LOOKUP(O41,PPTO!$J$8:$J$269,PPTO!F$8:F$269))</f>
        <v xml:space="preserve"> </v>
      </c>
      <c r="F41" s="90" t="str">
        <f>IF(LOOKUP(O41,PPTO!$J$8:$J$269,PPTO!H$8:H$269)=0," ",LOOKUP(O41,PPTO!$J$8:$J$269,PPTO!H$8:H$269))</f>
        <v xml:space="preserve"> </v>
      </c>
      <c r="G41" s="476" t="str">
        <f t="shared" si="1"/>
        <v>+</v>
      </c>
      <c r="H41" s="102">
        <v>0</v>
      </c>
      <c r="I41" s="102" t="e">
        <f t="shared" si="3"/>
        <v>#VALUE!</v>
      </c>
      <c r="J41" s="477" t="e">
        <f t="shared" si="2"/>
        <v>#VALUE!</v>
      </c>
      <c r="K41" s="102" t="e">
        <f t="shared" si="4"/>
        <v>#VALUE!</v>
      </c>
      <c r="L41" s="102" t="e">
        <f t="shared" si="5"/>
        <v>#VALUE!</v>
      </c>
      <c r="M41" s="175">
        <v>7554</v>
      </c>
      <c r="N41" s="102" t="e">
        <f t="shared" si="6"/>
        <v>#VALUE!</v>
      </c>
      <c r="O41" s="108">
        <f t="shared" si="0"/>
        <v>24</v>
      </c>
    </row>
    <row r="42" spans="1:15">
      <c r="A42" s="87" t="str">
        <f>IF(LOOKUP(O42,PPTO!$J$8:$J$269,PPTO!A$8:A$269)=0," ",LOOKUP(O42,PPTO!$J$8:$J$269,PPTO!A$8:A$269))</f>
        <v>4.02</v>
      </c>
      <c r="B42" s="91" t="str">
        <f>IF(LOOKUP(O42,PPTO!$J$8:J$269,PPTO!B$8:B$269)=0," ",LOOKUP(O42,PPTO!$J$8:J$269,PPTO!B$8:B$269))</f>
        <v xml:space="preserve"> </v>
      </c>
      <c r="C42" s="89" t="str">
        <f>IF(LOOKUP(O42,PPTO!$J$8:$J$269,PPTO!D$8:D$269)=0," ",LOOKUP(O42,PPTO!$J$8:$J$269,PPTO!D$8:D$269))</f>
        <v>ML</v>
      </c>
      <c r="D42" s="90" t="str">
        <f>IF(LOOKUP(O42,PPTO!$J$8:$J$269,PPTO!E$8:E$269)=0," ",LOOKUP(O42,PPTO!$J$8:$J$269,PPTO!E$8:E$269))</f>
        <v xml:space="preserve"> </v>
      </c>
      <c r="E42" s="90" t="str">
        <f>IF(LOOKUP(O42,PPTO!$J$8:$J$269,PPTO!F$8:F$269)=0," ",LOOKUP(O42,PPTO!$J$8:$J$269,PPTO!F$8:F$269))</f>
        <v xml:space="preserve"> </v>
      </c>
      <c r="F42" s="90" t="str">
        <f>IF(LOOKUP(O42,PPTO!$J$8:$J$269,PPTO!H$8:H$269)=0," ",LOOKUP(O42,PPTO!$J$8:$J$269,PPTO!H$8:H$269))</f>
        <v xml:space="preserve"> </v>
      </c>
      <c r="G42" s="476" t="str">
        <f t="shared" si="1"/>
        <v>+</v>
      </c>
      <c r="H42" s="102">
        <v>0</v>
      </c>
      <c r="I42" s="102" t="e">
        <f t="shared" si="3"/>
        <v>#VALUE!</v>
      </c>
      <c r="J42" s="477" t="e">
        <f t="shared" si="2"/>
        <v>#VALUE!</v>
      </c>
      <c r="K42" s="102" t="e">
        <f t="shared" si="4"/>
        <v>#VALUE!</v>
      </c>
      <c r="L42" s="102" t="e">
        <f t="shared" si="5"/>
        <v>#VALUE!</v>
      </c>
      <c r="M42" s="175">
        <v>10629.07</v>
      </c>
      <c r="N42" s="102" t="e">
        <f t="shared" si="6"/>
        <v>#VALUE!</v>
      </c>
      <c r="O42" s="108">
        <f t="shared" si="0"/>
        <v>25</v>
      </c>
    </row>
    <row r="43" spans="1:15">
      <c r="A43" s="87" t="str">
        <f>IF(LOOKUP(O43,PPTO!$J$8:$J$269,PPTO!A$8:A$269)=0," ",LOOKUP(O43,PPTO!$J$8:$J$269,PPTO!A$8:A$269))</f>
        <v>4.03</v>
      </c>
      <c r="B43" s="91" t="str">
        <f>IF(LOOKUP(O43,PPTO!$J$8:J$269,PPTO!B$8:B$269)=0," ",LOOKUP(O43,PPTO!$J$8:J$269,PPTO!B$8:B$269))</f>
        <v xml:space="preserve"> </v>
      </c>
      <c r="C43" s="89" t="str">
        <f>IF(LOOKUP(O43,PPTO!$J$8:$J$269,PPTO!D$8:D$269)=0," ",LOOKUP(O43,PPTO!$J$8:$J$269,PPTO!D$8:D$269))</f>
        <v>ML</v>
      </c>
      <c r="D43" s="90" t="str">
        <f>IF(LOOKUP(O43,PPTO!$J$8:$J$269,PPTO!E$8:E$269)=0," ",LOOKUP(O43,PPTO!$J$8:$J$269,PPTO!E$8:E$269))</f>
        <v xml:space="preserve"> </v>
      </c>
      <c r="E43" s="90" t="str">
        <f>IF(LOOKUP(O43,PPTO!$J$8:$J$269,PPTO!F$8:F$269)=0," ",LOOKUP(O43,PPTO!$J$8:$J$269,PPTO!F$8:F$269))</f>
        <v xml:space="preserve"> </v>
      </c>
      <c r="F43" s="90" t="str">
        <f>IF(LOOKUP(O43,PPTO!$J$8:$J$269,PPTO!H$8:H$269)=0," ",LOOKUP(O43,PPTO!$J$8:$J$269,PPTO!H$8:H$269))</f>
        <v xml:space="preserve"> </v>
      </c>
      <c r="G43" s="476" t="str">
        <f t="shared" si="1"/>
        <v>+</v>
      </c>
      <c r="H43" s="102">
        <v>0</v>
      </c>
      <c r="I43" s="102" t="e">
        <f t="shared" si="3"/>
        <v>#VALUE!</v>
      </c>
      <c r="J43" s="477" t="e">
        <f t="shared" si="2"/>
        <v>#VALUE!</v>
      </c>
      <c r="K43" s="102" t="e">
        <f t="shared" si="4"/>
        <v>#VALUE!</v>
      </c>
      <c r="L43" s="102" t="e">
        <f t="shared" si="5"/>
        <v>#VALUE!</v>
      </c>
      <c r="M43" s="175">
        <v>119.02</v>
      </c>
      <c r="N43" s="102" t="e">
        <f t="shared" si="6"/>
        <v>#VALUE!</v>
      </c>
      <c r="O43" s="108">
        <f t="shared" si="0"/>
        <v>26</v>
      </c>
    </row>
    <row r="44" spans="1:15">
      <c r="A44" s="87" t="str">
        <f>IF(LOOKUP(O44,PPTO!$J$8:$J$269,PPTO!A$8:A$269)=0," ",LOOKUP(O44,PPTO!$J$8:$J$269,PPTO!A$8:A$269))</f>
        <v>4.04</v>
      </c>
      <c r="B44" s="91" t="str">
        <f>IF(LOOKUP(O44,PPTO!$J$8:J$269,PPTO!B$8:B$269)=0," ",LOOKUP(O44,PPTO!$J$8:J$269,PPTO!B$8:B$269))</f>
        <v xml:space="preserve"> </v>
      </c>
      <c r="C44" s="89" t="str">
        <f>IF(LOOKUP(O44,PPTO!$J$8:$J$269,PPTO!D$8:D$269)=0," ",LOOKUP(O44,PPTO!$J$8:$J$269,PPTO!D$8:D$269))</f>
        <v>ML</v>
      </c>
      <c r="D44" s="90" t="str">
        <f>IF(LOOKUP(O44,PPTO!$J$8:$J$269,PPTO!E$8:E$269)=0," ",LOOKUP(O44,PPTO!$J$8:$J$269,PPTO!E$8:E$269))</f>
        <v xml:space="preserve"> </v>
      </c>
      <c r="E44" s="90" t="str">
        <f>IF(LOOKUP(O44,PPTO!$J$8:$J$269,PPTO!F$8:F$269)=0," ",LOOKUP(O44,PPTO!$J$8:$J$269,PPTO!F$8:F$269))</f>
        <v xml:space="preserve"> </v>
      </c>
      <c r="F44" s="90" t="str">
        <f>IF(LOOKUP(O44,PPTO!$J$8:$J$269,PPTO!H$8:H$269)=0," ",LOOKUP(O44,PPTO!$J$8:$J$269,PPTO!H$8:H$269))</f>
        <v xml:space="preserve"> </v>
      </c>
      <c r="G44" s="476" t="str">
        <f t="shared" si="1"/>
        <v>+</v>
      </c>
      <c r="H44" s="102">
        <v>0</v>
      </c>
      <c r="I44" s="102" t="e">
        <f t="shared" si="3"/>
        <v>#VALUE!</v>
      </c>
      <c r="J44" s="477" t="e">
        <f t="shared" si="2"/>
        <v>#VALUE!</v>
      </c>
      <c r="K44" s="102" t="e">
        <f t="shared" si="4"/>
        <v>#VALUE!</v>
      </c>
      <c r="L44" s="102" t="e">
        <f t="shared" si="5"/>
        <v>#VALUE!</v>
      </c>
      <c r="M44" s="175">
        <v>293.73</v>
      </c>
      <c r="N44" s="102" t="e">
        <f t="shared" si="6"/>
        <v>#VALUE!</v>
      </c>
      <c r="O44" s="108">
        <f t="shared" si="0"/>
        <v>27</v>
      </c>
    </row>
    <row r="45" spans="1:15">
      <c r="A45" s="87" t="str">
        <f>IF(LOOKUP(O45,PPTO!$J$8:$J$269,PPTO!A$8:A$269)=0," ",LOOKUP(O45,PPTO!$J$8:$J$269,PPTO!A$8:A$269))</f>
        <v>4.05</v>
      </c>
      <c r="B45" s="91" t="str">
        <f>IF(LOOKUP(O45,PPTO!$J$8:J$269,PPTO!B$8:B$269)=0," ",LOOKUP(O45,PPTO!$J$8:J$269,PPTO!B$8:B$269))</f>
        <v xml:space="preserve"> </v>
      </c>
      <c r="C45" s="89" t="str">
        <f>IF(LOOKUP(O45,PPTO!$J$8:$J$269,PPTO!D$8:D$269)=0," ",LOOKUP(O45,PPTO!$J$8:$J$269,PPTO!D$8:D$269))</f>
        <v>ML</v>
      </c>
      <c r="D45" s="90" t="str">
        <f>IF(LOOKUP(O45,PPTO!$J$8:$J$269,PPTO!E$8:E$269)=0," ",LOOKUP(O45,PPTO!$J$8:$J$269,PPTO!E$8:E$269))</f>
        <v xml:space="preserve"> </v>
      </c>
      <c r="E45" s="90" t="str">
        <f>IF(LOOKUP(O45,PPTO!$J$8:$J$269,PPTO!F$8:F$269)=0," ",LOOKUP(O45,PPTO!$J$8:$J$269,PPTO!F$8:F$269))</f>
        <v xml:space="preserve"> </v>
      </c>
      <c r="F45" s="90" t="str">
        <f>IF(LOOKUP(O45,PPTO!$J$8:$J$269,PPTO!H$8:H$269)=0," ",LOOKUP(O45,PPTO!$J$8:$J$269,PPTO!H$8:H$269))</f>
        <v xml:space="preserve"> </v>
      </c>
      <c r="G45" s="476" t="str">
        <f t="shared" si="1"/>
        <v>+</v>
      </c>
      <c r="H45" s="102">
        <v>0</v>
      </c>
      <c r="I45" s="102" t="e">
        <f t="shared" si="3"/>
        <v>#VALUE!</v>
      </c>
      <c r="J45" s="477" t="e">
        <f t="shared" si="2"/>
        <v>#VALUE!</v>
      </c>
      <c r="K45" s="102" t="e">
        <f t="shared" si="4"/>
        <v>#VALUE!</v>
      </c>
      <c r="L45" s="102" t="e">
        <f t="shared" si="5"/>
        <v>#VALUE!</v>
      </c>
      <c r="M45" s="175">
        <v>912.33</v>
      </c>
      <c r="N45" s="102" t="e">
        <f t="shared" si="6"/>
        <v>#VALUE!</v>
      </c>
      <c r="O45" s="108">
        <f t="shared" si="0"/>
        <v>28</v>
      </c>
    </row>
    <row r="46" spans="1:15">
      <c r="A46" s="87" t="str">
        <f>IF(LOOKUP(O46,PPTO!$J$8:$J$269,PPTO!A$8:A$269)=0," ",LOOKUP(O46,PPTO!$J$8:$J$269,PPTO!A$8:A$269))</f>
        <v>4.06</v>
      </c>
      <c r="B46" s="91" t="str">
        <f>IF(LOOKUP(O46,PPTO!$J$8:J$269,PPTO!B$8:B$269)=0," ",LOOKUP(O46,PPTO!$J$8:J$269,PPTO!B$8:B$269))</f>
        <v xml:space="preserve"> </v>
      </c>
      <c r="C46" s="89" t="str">
        <f>IF(LOOKUP(O46,PPTO!$J$8:$J$269,PPTO!D$8:D$269)=0," ",LOOKUP(O46,PPTO!$J$8:$J$269,PPTO!D$8:D$269))</f>
        <v>UND</v>
      </c>
      <c r="D46" s="90" t="str">
        <f>IF(LOOKUP(O46,PPTO!$J$8:$J$269,PPTO!E$8:E$269)=0," ",LOOKUP(O46,PPTO!$J$8:$J$269,PPTO!E$8:E$269))</f>
        <v xml:space="preserve"> </v>
      </c>
      <c r="E46" s="90" t="str">
        <f>IF(LOOKUP(O46,PPTO!$J$8:$J$269,PPTO!F$8:F$269)=0," ",LOOKUP(O46,PPTO!$J$8:$J$269,PPTO!F$8:F$269))</f>
        <v xml:space="preserve"> </v>
      </c>
      <c r="F46" s="90" t="str">
        <f>IF(LOOKUP(O46,PPTO!$J$8:$J$269,PPTO!H$8:H$269)=0," ",LOOKUP(O46,PPTO!$J$8:$J$269,PPTO!H$8:H$269))</f>
        <v xml:space="preserve"> </v>
      </c>
      <c r="G46" s="476" t="str">
        <f t="shared" si="1"/>
        <v>+</v>
      </c>
      <c r="H46" s="102">
        <v>0</v>
      </c>
      <c r="I46" s="102" t="e">
        <f t="shared" si="3"/>
        <v>#VALUE!</v>
      </c>
      <c r="J46" s="477" t="e">
        <f t="shared" si="2"/>
        <v>#VALUE!</v>
      </c>
      <c r="K46" s="102" t="e">
        <f t="shared" si="4"/>
        <v>#VALUE!</v>
      </c>
      <c r="L46" s="102" t="e">
        <f t="shared" si="5"/>
        <v>#VALUE!</v>
      </c>
      <c r="M46" s="175">
        <v>1259</v>
      </c>
      <c r="N46" s="102" t="e">
        <f t="shared" si="6"/>
        <v>#VALUE!</v>
      </c>
      <c r="O46" s="108">
        <f t="shared" si="0"/>
        <v>29</v>
      </c>
    </row>
    <row r="47" spans="1:15">
      <c r="A47" s="87" t="str">
        <f>IF(LOOKUP(O47,PPTO!$J$8:$J$269,PPTO!A$8:A$269)=0," ",LOOKUP(O47,PPTO!$J$8:$J$269,PPTO!A$8:A$269))</f>
        <v>4.09</v>
      </c>
      <c r="B47" s="91" t="str">
        <f>IF(LOOKUP(O47,PPTO!$J$8:J$269,PPTO!B$8:B$269)=0," ",LOOKUP(O47,PPTO!$J$8:J$269,PPTO!B$8:B$269))</f>
        <v xml:space="preserve"> </v>
      </c>
      <c r="C47" s="89" t="str">
        <f>IF(LOOKUP(O47,PPTO!$J$8:$J$269,PPTO!D$8:D$269)=0," ",LOOKUP(O47,PPTO!$J$8:$J$269,PPTO!D$8:D$269))</f>
        <v>M3</v>
      </c>
      <c r="D47" s="90" t="str">
        <f>IF(LOOKUP(O47,PPTO!$J$8:$J$269,PPTO!E$8:E$269)=0," ",LOOKUP(O47,PPTO!$J$8:$J$269,PPTO!E$8:E$269))</f>
        <v xml:space="preserve"> </v>
      </c>
      <c r="E47" s="90" t="str">
        <f>IF(LOOKUP(O47,PPTO!$J$8:$J$269,PPTO!F$8:F$269)=0," ",LOOKUP(O47,PPTO!$J$8:$J$269,PPTO!F$8:F$269))</f>
        <v xml:space="preserve"> </v>
      </c>
      <c r="F47" s="90" t="str">
        <f>IF(LOOKUP(O47,PPTO!$J$8:$J$269,PPTO!H$8:H$269)=0," ",LOOKUP(O47,PPTO!$J$8:$J$269,PPTO!H$8:H$269))</f>
        <v xml:space="preserve"> </v>
      </c>
      <c r="G47" s="476" t="str">
        <f t="shared" si="1"/>
        <v>+</v>
      </c>
      <c r="H47" s="102">
        <v>0</v>
      </c>
      <c r="I47" s="102" t="e">
        <f t="shared" si="3"/>
        <v>#VALUE!</v>
      </c>
      <c r="J47" s="477" t="e">
        <f t="shared" si="2"/>
        <v>#VALUE!</v>
      </c>
      <c r="K47" s="102" t="e">
        <f t="shared" si="4"/>
        <v>#VALUE!</v>
      </c>
      <c r="L47" s="102" t="e">
        <f t="shared" si="5"/>
        <v>#VALUE!</v>
      </c>
      <c r="M47" s="175">
        <v>453.24</v>
      </c>
      <c r="N47" s="102" t="e">
        <f t="shared" si="6"/>
        <v>#VALUE!</v>
      </c>
      <c r="O47" s="108">
        <f t="shared" si="0"/>
        <v>30</v>
      </c>
    </row>
    <row r="48" spans="1:15">
      <c r="A48" s="87" t="str">
        <f>IF(LOOKUP(O48,PPTO!$J$8:$J$269,PPTO!A$8:A$269)=0," ",LOOKUP(O48,PPTO!$J$8:$J$269,PPTO!A$8:A$269))</f>
        <v>4.10</v>
      </c>
      <c r="B48" s="91" t="str">
        <f>IF(LOOKUP(O48,PPTO!$J$8:J$269,PPTO!B$8:B$269)=0," ",LOOKUP(O48,PPTO!$J$8:J$269,PPTO!B$8:B$269))</f>
        <v xml:space="preserve"> </v>
      </c>
      <c r="C48" s="89" t="str">
        <f>IF(LOOKUP(O48,PPTO!$J$8:$J$269,PPTO!D$8:D$269)=0," ",LOOKUP(O48,PPTO!$J$8:$J$269,PPTO!D$8:D$269))</f>
        <v>M3</v>
      </c>
      <c r="D48" s="90" t="str">
        <f>IF(LOOKUP(O48,PPTO!$J$8:$J$269,PPTO!E$8:E$269)=0," ",LOOKUP(O48,PPTO!$J$8:$J$269,PPTO!E$8:E$269))</f>
        <v xml:space="preserve"> </v>
      </c>
      <c r="E48" s="90" t="str">
        <f>IF(LOOKUP(O48,PPTO!$J$8:$J$269,PPTO!F$8:F$269)=0," ",LOOKUP(O48,PPTO!$J$8:$J$269,PPTO!F$8:F$269))</f>
        <v xml:space="preserve"> </v>
      </c>
      <c r="F48" s="90" t="str">
        <f>IF(LOOKUP(O48,PPTO!$J$8:$J$269,PPTO!H$8:H$269)=0," ",LOOKUP(O48,PPTO!$J$8:$J$269,PPTO!H$8:H$269))</f>
        <v xml:space="preserve"> </v>
      </c>
      <c r="G48" s="476" t="str">
        <f t="shared" si="1"/>
        <v>+</v>
      </c>
      <c r="H48" s="102">
        <v>0</v>
      </c>
      <c r="I48" s="102" t="e">
        <f t="shared" si="3"/>
        <v>#VALUE!</v>
      </c>
      <c r="J48" s="477" t="e">
        <f t="shared" si="2"/>
        <v>#VALUE!</v>
      </c>
      <c r="K48" s="102" t="e">
        <f t="shared" si="4"/>
        <v>#VALUE!</v>
      </c>
      <c r="L48" s="102" t="e">
        <f t="shared" si="5"/>
        <v>#VALUE!</v>
      </c>
      <c r="M48" s="175">
        <v>2381.3200000000002</v>
      </c>
      <c r="N48" s="102" t="e">
        <f t="shared" si="6"/>
        <v>#VALUE!</v>
      </c>
      <c r="O48" s="108">
        <f t="shared" si="0"/>
        <v>31</v>
      </c>
    </row>
    <row r="49" spans="1:15">
      <c r="A49" s="87">
        <f>IF(LOOKUP(O49,PPTO!$J$8:$J$269,PPTO!A$8:A$269)=0," ",LOOKUP(O49,PPTO!$J$8:$J$269,PPTO!A$8:A$269))</f>
        <v>5</v>
      </c>
      <c r="B49" s="91" t="str">
        <f>IF(LOOKUP(O49,PPTO!$J$8:J$269,PPTO!B$8:B$269)=0," ",LOOKUP(O49,PPTO!$J$8:J$269,PPTO!B$8:B$269))</f>
        <v>ESTRUCTURAS SANITARIAS EN CONCRETO</v>
      </c>
      <c r="C49" s="89" t="str">
        <f>IF(LOOKUP(O49,PPTO!$J$8:$J$269,PPTO!D$8:D$269)=0," ",LOOKUP(O49,PPTO!$J$8:$J$269,PPTO!D$8:D$269))</f>
        <v xml:space="preserve"> </v>
      </c>
      <c r="D49" s="90" t="str">
        <f>IF(LOOKUP(O49,PPTO!$J$8:$J$269,PPTO!E$8:E$269)=0," ",LOOKUP(O49,PPTO!$J$8:$J$269,PPTO!E$8:E$269))</f>
        <v xml:space="preserve"> </v>
      </c>
      <c r="E49" s="90" t="str">
        <f>IF(LOOKUP(O49,PPTO!$J$8:$J$269,PPTO!F$8:F$269)=0," ",LOOKUP(O49,PPTO!$J$8:$J$269,PPTO!F$8:F$269))</f>
        <v xml:space="preserve"> </v>
      </c>
      <c r="F49" s="90" t="str">
        <f>IF(LOOKUP(O49,PPTO!$J$8:$J$269,PPTO!H$8:H$269)=0," ",LOOKUP(O49,PPTO!$J$8:$J$269,PPTO!H$8:H$269))</f>
        <v xml:space="preserve"> </v>
      </c>
      <c r="G49" s="476" t="str">
        <f t="shared" si="1"/>
        <v>+</v>
      </c>
      <c r="H49" s="102"/>
      <c r="I49" s="102"/>
      <c r="J49" s="477" t="str">
        <f t="shared" si="2"/>
        <v>+</v>
      </c>
      <c r="K49" s="102"/>
      <c r="L49" s="102"/>
      <c r="M49" s="175"/>
      <c r="N49" s="102"/>
      <c r="O49" s="108">
        <f t="shared" si="0"/>
        <v>32</v>
      </c>
    </row>
    <row r="50" spans="1:15">
      <c r="A50" s="87" t="str">
        <f>IF(LOOKUP(O50,PPTO!$J$8:$J$269,PPTO!A$8:A$269)=0," ",LOOKUP(O50,PPTO!$J$8:$J$269,PPTO!A$8:A$269))</f>
        <v>5.01</v>
      </c>
      <c r="B50" s="91" t="str">
        <f>IF(LOOKUP(O50,PPTO!$J$8:J$269,PPTO!B$8:B$269)=0," ",LOOKUP(O50,PPTO!$J$8:J$269,PPTO!B$8:B$269))</f>
        <v xml:space="preserve"> </v>
      </c>
      <c r="C50" s="89" t="str">
        <f>IF(LOOKUP(O50,PPTO!$J$8:$J$269,PPTO!D$8:D$269)=0," ",LOOKUP(O50,PPTO!$J$8:$J$269,PPTO!D$8:D$269))</f>
        <v>M3</v>
      </c>
      <c r="D50" s="90" t="str">
        <f>IF(LOOKUP(O50,PPTO!$J$8:$J$269,PPTO!E$8:E$269)=0," ",LOOKUP(O50,PPTO!$J$8:$J$269,PPTO!E$8:E$269))</f>
        <v xml:space="preserve"> </v>
      </c>
      <c r="E50" s="90" t="str">
        <f>IF(LOOKUP(O50,PPTO!$J$8:$J$269,PPTO!F$8:F$269)=0," ",LOOKUP(O50,PPTO!$J$8:$J$269,PPTO!F$8:F$269))</f>
        <v xml:space="preserve"> </v>
      </c>
      <c r="F50" s="90" t="str">
        <f>IF(LOOKUP(O50,PPTO!$J$8:$J$269,PPTO!H$8:H$269)=0," ",LOOKUP(O50,PPTO!$J$8:$J$269,PPTO!H$8:H$269))</f>
        <v xml:space="preserve"> </v>
      </c>
      <c r="G50" s="476" t="str">
        <f t="shared" si="1"/>
        <v>+</v>
      </c>
      <c r="H50" s="102">
        <v>0</v>
      </c>
      <c r="I50" s="102" t="e">
        <f t="shared" si="3"/>
        <v>#VALUE!</v>
      </c>
      <c r="J50" s="477" t="e">
        <f t="shared" si="2"/>
        <v>#VALUE!</v>
      </c>
      <c r="K50" s="102" t="e">
        <f t="shared" si="4"/>
        <v>#VALUE!</v>
      </c>
      <c r="L50" s="102" t="e">
        <f t="shared" si="5"/>
        <v>#VALUE!</v>
      </c>
      <c r="M50" s="175">
        <v>293.73</v>
      </c>
      <c r="N50" s="102" t="e">
        <f t="shared" si="6"/>
        <v>#VALUE!</v>
      </c>
      <c r="O50" s="108">
        <f t="shared" si="0"/>
        <v>33</v>
      </c>
    </row>
    <row r="51" spans="1:15">
      <c r="A51" s="87" t="str">
        <f>IF(LOOKUP(O51,PPTO!$J$8:$J$269,PPTO!A$8:A$269)=0," ",LOOKUP(O51,PPTO!$J$8:$J$269,PPTO!A$8:A$269))</f>
        <v>5.02</v>
      </c>
      <c r="B51" s="91" t="str">
        <f>IF(LOOKUP(O51,PPTO!$J$8:J$269,PPTO!B$8:B$269)=0," ",LOOKUP(O51,PPTO!$J$8:J$269,PPTO!B$8:B$269))</f>
        <v xml:space="preserve"> </v>
      </c>
      <c r="C51" s="89" t="str">
        <f>IF(LOOKUP(O51,PPTO!$J$8:$J$269,PPTO!D$8:D$269)=0," ",LOOKUP(O51,PPTO!$J$8:$J$269,PPTO!D$8:D$269))</f>
        <v>UND</v>
      </c>
      <c r="D51" s="90" t="str">
        <f>IF(LOOKUP(O51,PPTO!$J$8:$J$269,PPTO!E$8:E$269)=0," ",LOOKUP(O51,PPTO!$J$8:$J$269,PPTO!E$8:E$269))</f>
        <v xml:space="preserve"> </v>
      </c>
      <c r="E51" s="90" t="str">
        <f>IF(LOOKUP(O51,PPTO!$J$8:$J$269,PPTO!F$8:F$269)=0," ",LOOKUP(O51,PPTO!$J$8:$J$269,PPTO!F$8:F$269))</f>
        <v xml:space="preserve"> </v>
      </c>
      <c r="F51" s="90" t="str">
        <f>IF(LOOKUP(O51,PPTO!$J$8:$J$269,PPTO!H$8:H$269)=0," ",LOOKUP(O51,PPTO!$J$8:$J$269,PPTO!H$8:H$269))</f>
        <v xml:space="preserve"> </v>
      </c>
      <c r="G51" s="476" t="str">
        <f t="shared" si="1"/>
        <v>+</v>
      </c>
      <c r="H51" s="102">
        <v>0</v>
      </c>
      <c r="I51" s="102" t="e">
        <f t="shared" si="3"/>
        <v>#VALUE!</v>
      </c>
      <c r="J51" s="477" t="e">
        <f t="shared" si="2"/>
        <v>#VALUE!</v>
      </c>
      <c r="K51" s="102" t="e">
        <f t="shared" si="4"/>
        <v>#VALUE!</v>
      </c>
      <c r="L51" s="102" t="e">
        <f t="shared" si="5"/>
        <v>#VALUE!</v>
      </c>
      <c r="M51" s="175">
        <v>912.33</v>
      </c>
      <c r="N51" s="102" t="e">
        <f t="shared" si="6"/>
        <v>#VALUE!</v>
      </c>
      <c r="O51" s="108">
        <f t="shared" si="0"/>
        <v>34</v>
      </c>
    </row>
    <row r="52" spans="1:15">
      <c r="A52" s="87" t="str">
        <f>IF(LOOKUP(O52,PPTO!$J$8:$J$269,PPTO!A$8:A$269)=0," ",LOOKUP(O52,PPTO!$J$8:$J$269,PPTO!A$8:A$269))</f>
        <v>5.03</v>
      </c>
      <c r="B52" s="91" t="str">
        <f>IF(LOOKUP(O52,PPTO!$J$8:J$269,PPTO!B$8:B$269)=0," ",LOOKUP(O52,PPTO!$J$8:J$269,PPTO!B$8:B$269))</f>
        <v xml:space="preserve"> </v>
      </c>
      <c r="C52" s="89" t="str">
        <f>IF(LOOKUP(O52,PPTO!$J$8:$J$269,PPTO!D$8:D$269)=0," ",LOOKUP(O52,PPTO!$J$8:$J$269,PPTO!D$8:D$269))</f>
        <v>UND</v>
      </c>
      <c r="D52" s="90" t="str">
        <f>IF(LOOKUP(O52,PPTO!$J$8:$J$269,PPTO!E$8:E$269)=0," ",LOOKUP(O52,PPTO!$J$8:$J$269,PPTO!E$8:E$269))</f>
        <v xml:space="preserve"> </v>
      </c>
      <c r="E52" s="90" t="str">
        <f>IF(LOOKUP(O52,PPTO!$J$8:$J$269,PPTO!F$8:F$269)=0," ",LOOKUP(O52,PPTO!$J$8:$J$269,PPTO!F$8:F$269))</f>
        <v xml:space="preserve"> </v>
      </c>
      <c r="F52" s="90" t="str">
        <f>IF(LOOKUP(O52,PPTO!$J$8:$J$269,PPTO!H$8:H$269)=0," ",LOOKUP(O52,PPTO!$J$8:$J$269,PPTO!H$8:H$269))</f>
        <v xml:space="preserve"> </v>
      </c>
      <c r="G52" s="476" t="str">
        <f t="shared" si="1"/>
        <v>+</v>
      </c>
      <c r="H52" s="102">
        <v>0</v>
      </c>
      <c r="I52" s="102" t="e">
        <f t="shared" si="3"/>
        <v>#VALUE!</v>
      </c>
      <c r="J52" s="477" t="e">
        <f t="shared" si="2"/>
        <v>#VALUE!</v>
      </c>
      <c r="K52" s="102" t="e">
        <f t="shared" si="4"/>
        <v>#VALUE!</v>
      </c>
      <c r="L52" s="102" t="e">
        <f t="shared" si="5"/>
        <v>#VALUE!</v>
      </c>
      <c r="M52" s="175">
        <v>1259</v>
      </c>
      <c r="N52" s="102" t="e">
        <f t="shared" si="6"/>
        <v>#VALUE!</v>
      </c>
      <c r="O52" s="108">
        <f t="shared" si="0"/>
        <v>35</v>
      </c>
    </row>
    <row r="53" spans="1:15">
      <c r="A53" s="87" t="str">
        <f>IF(LOOKUP(O53,PPTO!$J$8:$J$269,PPTO!A$8:A$269)=0," ",LOOKUP(O53,PPTO!$J$8:$J$269,PPTO!A$8:A$269))</f>
        <v>5.04</v>
      </c>
      <c r="B53" s="91" t="str">
        <f>IF(LOOKUP(O53,PPTO!$J$8:J$269,PPTO!B$8:B$269)=0," ",LOOKUP(O53,PPTO!$J$8:J$269,PPTO!B$8:B$269))</f>
        <v xml:space="preserve"> </v>
      </c>
      <c r="C53" s="89" t="str">
        <f>IF(LOOKUP(O53,PPTO!$J$8:$J$269,PPTO!D$8:D$269)=0," ",LOOKUP(O53,PPTO!$J$8:$J$269,PPTO!D$8:D$269))</f>
        <v>UND</v>
      </c>
      <c r="D53" s="90" t="str">
        <f>IF(LOOKUP(O53,PPTO!$J$8:$J$269,PPTO!E$8:E$269)=0," ",LOOKUP(O53,PPTO!$J$8:$J$269,PPTO!E$8:E$269))</f>
        <v xml:space="preserve"> </v>
      </c>
      <c r="E53" s="90" t="str">
        <f>IF(LOOKUP(O53,PPTO!$J$8:$J$269,PPTO!F$8:F$269)=0," ",LOOKUP(O53,PPTO!$J$8:$J$269,PPTO!F$8:F$269))</f>
        <v xml:space="preserve"> </v>
      </c>
      <c r="F53" s="90" t="str">
        <f>IF(LOOKUP(O53,PPTO!$J$8:$J$269,PPTO!H$8:H$269)=0," ",LOOKUP(O53,PPTO!$J$8:$J$269,PPTO!H$8:H$269))</f>
        <v xml:space="preserve"> </v>
      </c>
      <c r="G53" s="476" t="str">
        <f t="shared" si="1"/>
        <v>+</v>
      </c>
      <c r="H53" s="102">
        <v>0</v>
      </c>
      <c r="I53" s="102" t="e">
        <f t="shared" si="3"/>
        <v>#VALUE!</v>
      </c>
      <c r="J53" s="477" t="e">
        <f t="shared" si="2"/>
        <v>#VALUE!</v>
      </c>
      <c r="K53" s="102" t="e">
        <f t="shared" si="4"/>
        <v>#VALUE!</v>
      </c>
      <c r="L53" s="102" t="e">
        <f t="shared" si="5"/>
        <v>#VALUE!</v>
      </c>
      <c r="M53" s="175">
        <v>140</v>
      </c>
      <c r="N53" s="102" t="e">
        <f t="shared" si="6"/>
        <v>#VALUE!</v>
      </c>
      <c r="O53" s="108">
        <f t="shared" si="0"/>
        <v>36</v>
      </c>
    </row>
    <row r="54" spans="1:15">
      <c r="A54" s="87" t="str">
        <f>IF(LOOKUP(O54,PPTO!$J$8:$J$269,PPTO!A$8:A$269)=0," ",LOOKUP(O54,PPTO!$J$8:$J$269,PPTO!A$8:A$269))</f>
        <v>5.05</v>
      </c>
      <c r="B54" s="91" t="str">
        <f>IF(LOOKUP(O54,PPTO!$J$8:J$269,PPTO!B$8:B$269)=0," ",LOOKUP(O54,PPTO!$J$8:J$269,PPTO!B$8:B$269))</f>
        <v xml:space="preserve"> </v>
      </c>
      <c r="C54" s="89" t="str">
        <f>IF(LOOKUP(O54,PPTO!$J$8:$J$269,PPTO!D$8:D$269)=0," ",LOOKUP(O54,PPTO!$J$8:$J$269,PPTO!D$8:D$269))</f>
        <v>UND</v>
      </c>
      <c r="D54" s="90" t="str">
        <f>IF(LOOKUP(O54,PPTO!$J$8:$J$269,PPTO!E$8:E$269)=0," ",LOOKUP(O54,PPTO!$J$8:$J$269,PPTO!E$8:E$269))</f>
        <v xml:space="preserve"> </v>
      </c>
      <c r="E54" s="90" t="str">
        <f>IF(LOOKUP(O54,PPTO!$J$8:$J$269,PPTO!F$8:F$269)=0," ",LOOKUP(O54,PPTO!$J$8:$J$269,PPTO!F$8:F$269))</f>
        <v xml:space="preserve"> </v>
      </c>
      <c r="F54" s="90" t="str">
        <f>IF(LOOKUP(O54,PPTO!$J$8:$J$269,PPTO!H$8:H$269)=0," ",LOOKUP(O54,PPTO!$J$8:$J$269,PPTO!H$8:H$269))</f>
        <v xml:space="preserve"> </v>
      </c>
      <c r="G54" s="476" t="str">
        <f t="shared" si="1"/>
        <v>+</v>
      </c>
      <c r="H54" s="102">
        <v>0</v>
      </c>
      <c r="I54" s="102" t="e">
        <f t="shared" si="3"/>
        <v>#VALUE!</v>
      </c>
      <c r="J54" s="477" t="e">
        <f t="shared" si="2"/>
        <v>#VALUE!</v>
      </c>
      <c r="K54" s="102" t="e">
        <f t="shared" si="4"/>
        <v>#VALUE!</v>
      </c>
      <c r="L54" s="102" t="e">
        <f t="shared" si="5"/>
        <v>#VALUE!</v>
      </c>
      <c r="M54" s="175">
        <v>84</v>
      </c>
      <c r="N54" s="102" t="e">
        <f t="shared" si="6"/>
        <v>#VALUE!</v>
      </c>
      <c r="O54" s="108">
        <f t="shared" si="0"/>
        <v>37</v>
      </c>
    </row>
    <row r="55" spans="1:15">
      <c r="A55" s="87" t="str">
        <f>IF(LOOKUP(O55,PPTO!$J$8:$J$269,PPTO!A$8:A$269)=0," ",LOOKUP(O55,PPTO!$J$8:$J$269,PPTO!A$8:A$269))</f>
        <v>5.06</v>
      </c>
      <c r="B55" s="91" t="str">
        <f>IF(LOOKUP(O55,PPTO!$J$8:J$269,PPTO!B$8:B$269)=0," ",LOOKUP(O55,PPTO!$J$8:J$269,PPTO!B$8:B$269))</f>
        <v xml:space="preserve"> </v>
      </c>
      <c r="C55" s="89" t="str">
        <f>IF(LOOKUP(O55,PPTO!$J$8:$J$269,PPTO!D$8:D$269)=0," ",LOOKUP(O55,PPTO!$J$8:$J$269,PPTO!D$8:D$269))</f>
        <v>UND</v>
      </c>
      <c r="D55" s="90" t="str">
        <f>IF(LOOKUP(O55,PPTO!$J$8:$J$269,PPTO!E$8:E$269)=0," ",LOOKUP(O55,PPTO!$J$8:$J$269,PPTO!E$8:E$269))</f>
        <v xml:space="preserve"> </v>
      </c>
      <c r="E55" s="90" t="str">
        <f>IF(LOOKUP(O55,PPTO!$J$8:$J$269,PPTO!F$8:F$269)=0," ",LOOKUP(O55,PPTO!$J$8:$J$269,PPTO!F$8:F$269))</f>
        <v xml:space="preserve"> </v>
      </c>
      <c r="F55" s="90" t="str">
        <f>IF(LOOKUP(O55,PPTO!$J$8:$J$269,PPTO!H$8:H$269)=0," ",LOOKUP(O55,PPTO!$J$8:$J$269,PPTO!H$8:H$269))</f>
        <v xml:space="preserve"> </v>
      </c>
      <c r="G55" s="476" t="str">
        <f t="shared" si="1"/>
        <v>+</v>
      </c>
      <c r="H55" s="102">
        <v>0</v>
      </c>
      <c r="I55" s="102" t="e">
        <f t="shared" si="3"/>
        <v>#VALUE!</v>
      </c>
      <c r="J55" s="477" t="e">
        <f t="shared" si="2"/>
        <v>#VALUE!</v>
      </c>
      <c r="K55" s="102" t="e">
        <f t="shared" si="4"/>
        <v>#VALUE!</v>
      </c>
      <c r="L55" s="102" t="e">
        <f t="shared" si="5"/>
        <v>#VALUE!</v>
      </c>
      <c r="M55" s="175">
        <v>19</v>
      </c>
      <c r="N55" s="102" t="e">
        <f t="shared" si="6"/>
        <v>#VALUE!</v>
      </c>
      <c r="O55" s="108">
        <f t="shared" si="0"/>
        <v>38</v>
      </c>
    </row>
    <row r="56" spans="1:15">
      <c r="A56" s="87">
        <f>IF(LOOKUP(O56,PPTO!$J$8:$J$269,PPTO!A$8:A$269)=0," ",LOOKUP(O56,PPTO!$J$8:$J$269,PPTO!A$8:A$269))</f>
        <v>6</v>
      </c>
      <c r="B56" s="91" t="str">
        <f>IF(LOOKUP(O56,PPTO!$J$8:J$269,PPTO!B$8:B$269)=0," ",LOOKUP(O56,PPTO!$J$8:J$269,PPTO!B$8:B$269))</f>
        <v>CONSTRUCCION DE PAVIMENTOS</v>
      </c>
      <c r="C56" s="89" t="str">
        <f>IF(LOOKUP(O56,PPTO!$J$8:$J$269,PPTO!D$8:D$269)=0," ",LOOKUP(O56,PPTO!$J$8:$J$269,PPTO!D$8:D$269))</f>
        <v xml:space="preserve"> </v>
      </c>
      <c r="D56" s="90" t="str">
        <f>IF(LOOKUP(O56,PPTO!$J$8:$J$269,PPTO!E$8:E$269)=0," ",LOOKUP(O56,PPTO!$J$8:$J$269,PPTO!E$8:E$269))</f>
        <v xml:space="preserve"> </v>
      </c>
      <c r="E56" s="90" t="str">
        <f>IF(LOOKUP(O56,PPTO!$J$8:$J$269,PPTO!F$8:F$269)=0," ",LOOKUP(O56,PPTO!$J$8:$J$269,PPTO!F$8:F$269))</f>
        <v xml:space="preserve"> </v>
      </c>
      <c r="F56" s="90" t="str">
        <f>IF(LOOKUP(O56,PPTO!$J$8:$J$269,PPTO!H$8:H$269)=0," ",LOOKUP(O56,PPTO!$J$8:$J$269,PPTO!H$8:H$269))</f>
        <v xml:space="preserve"> </v>
      </c>
      <c r="G56" s="476" t="str">
        <f t="shared" si="1"/>
        <v>+</v>
      </c>
      <c r="H56" s="102"/>
      <c r="I56" s="102"/>
      <c r="J56" s="477" t="str">
        <f t="shared" si="2"/>
        <v>+</v>
      </c>
      <c r="K56" s="102"/>
      <c r="L56" s="102"/>
      <c r="M56" s="175"/>
      <c r="N56" s="102"/>
      <c r="O56" s="108">
        <f t="shared" si="0"/>
        <v>39</v>
      </c>
    </row>
    <row r="57" spans="1:15">
      <c r="A57" s="87" t="str">
        <f>IF(LOOKUP(O57,PPTO!$J$8:$J$269,PPTO!A$8:A$269)=0," ",LOOKUP(O57,PPTO!$J$8:$J$269,PPTO!A$8:A$269))</f>
        <v>6.01</v>
      </c>
      <c r="B57" s="91" t="str">
        <f>IF(LOOKUP(O57,PPTO!$J$8:J$269,PPTO!B$8:B$269)=0," ",LOOKUP(O57,PPTO!$J$8:J$269,PPTO!B$8:B$269))</f>
        <v xml:space="preserve"> </v>
      </c>
      <c r="C57" s="89" t="str">
        <f>IF(LOOKUP(O57,PPTO!$J$8:$J$269,PPTO!D$8:D$269)=0," ",LOOKUP(O57,PPTO!$J$8:$J$269,PPTO!D$8:D$269))</f>
        <v>M2</v>
      </c>
      <c r="D57" s="90" t="str">
        <f>IF(LOOKUP(O57,PPTO!$J$8:$J$269,PPTO!E$8:E$269)=0," ",LOOKUP(O57,PPTO!$J$8:$J$269,PPTO!E$8:E$269))</f>
        <v xml:space="preserve"> </v>
      </c>
      <c r="E57" s="90" t="str">
        <f>IF(LOOKUP(O57,PPTO!$J$8:$J$269,PPTO!F$8:F$269)=0," ",LOOKUP(O57,PPTO!$J$8:$J$269,PPTO!F$8:F$269))</f>
        <v xml:space="preserve"> </v>
      </c>
      <c r="F57" s="90" t="str">
        <f>IF(LOOKUP(O57,PPTO!$J$8:$J$269,PPTO!H$8:H$269)=0," ",LOOKUP(O57,PPTO!$J$8:$J$269,PPTO!H$8:H$269))</f>
        <v xml:space="preserve"> </v>
      </c>
      <c r="G57" s="476" t="str">
        <f t="shared" si="1"/>
        <v>+</v>
      </c>
      <c r="H57" s="102">
        <v>0</v>
      </c>
      <c r="I57" s="102" t="e">
        <f t="shared" si="3"/>
        <v>#VALUE!</v>
      </c>
      <c r="J57" s="477" t="e">
        <f t="shared" si="2"/>
        <v>#VALUE!</v>
      </c>
      <c r="K57" s="102" t="e">
        <f t="shared" si="4"/>
        <v>#VALUE!</v>
      </c>
      <c r="L57" s="102" t="e">
        <f t="shared" si="5"/>
        <v>#VALUE!</v>
      </c>
      <c r="M57" s="175">
        <v>4134</v>
      </c>
      <c r="N57" s="102" t="e">
        <f t="shared" si="6"/>
        <v>#VALUE!</v>
      </c>
      <c r="O57" s="108">
        <f t="shared" si="0"/>
        <v>40</v>
      </c>
    </row>
    <row r="58" spans="1:15">
      <c r="A58" s="87" t="str">
        <f>IF(LOOKUP(O58,PPTO!$J$8:$J$269,PPTO!A$8:A$269)=0," ",LOOKUP(O58,PPTO!$J$8:$J$269,PPTO!A$8:A$269))</f>
        <v>6.02</v>
      </c>
      <c r="B58" s="91" t="str">
        <f>IF(LOOKUP(O58,PPTO!$J$8:J$269,PPTO!B$8:B$269)=0," ",LOOKUP(O58,PPTO!$J$8:J$269,PPTO!B$8:B$269))</f>
        <v xml:space="preserve"> </v>
      </c>
      <c r="C58" s="89" t="str">
        <f>IF(LOOKUP(O58,PPTO!$J$8:$J$269,PPTO!D$8:D$269)=0," ",LOOKUP(O58,PPTO!$J$8:$J$269,PPTO!D$8:D$269))</f>
        <v>M3</v>
      </c>
      <c r="D58" s="90" t="str">
        <f>IF(LOOKUP(O58,PPTO!$J$8:$J$269,PPTO!E$8:E$269)=0," ",LOOKUP(O58,PPTO!$J$8:$J$269,PPTO!E$8:E$269))</f>
        <v xml:space="preserve"> </v>
      </c>
      <c r="E58" s="90" t="str">
        <f>IF(LOOKUP(O58,PPTO!$J$8:$J$269,PPTO!F$8:F$269)=0," ",LOOKUP(O58,PPTO!$J$8:$J$269,PPTO!F$8:F$269))</f>
        <v xml:space="preserve"> </v>
      </c>
      <c r="F58" s="90" t="str">
        <f>IF(LOOKUP(O58,PPTO!$J$8:$J$269,PPTO!H$8:H$269)=0," ",LOOKUP(O58,PPTO!$J$8:$J$269,PPTO!H$8:H$269))</f>
        <v xml:space="preserve"> </v>
      </c>
      <c r="G58" s="476" t="str">
        <f t="shared" si="1"/>
        <v>+</v>
      </c>
      <c r="H58" s="102">
        <v>0</v>
      </c>
      <c r="I58" s="102" t="e">
        <f t="shared" si="3"/>
        <v>#VALUE!</v>
      </c>
      <c r="J58" s="477" t="e">
        <f t="shared" si="2"/>
        <v>#VALUE!</v>
      </c>
      <c r="K58" s="102" t="e">
        <f t="shared" si="4"/>
        <v>#VALUE!</v>
      </c>
      <c r="L58" s="102" t="e">
        <f t="shared" si="5"/>
        <v>#VALUE!</v>
      </c>
      <c r="M58" s="175">
        <v>1243</v>
      </c>
      <c r="N58" s="102" t="e">
        <f t="shared" si="6"/>
        <v>#VALUE!</v>
      </c>
      <c r="O58" s="108">
        <f t="shared" si="0"/>
        <v>41</v>
      </c>
    </row>
    <row r="59" spans="1:15">
      <c r="A59" s="87" t="str">
        <f>IF(LOOKUP(O59,PPTO!$J$8:$J$269,PPTO!A$8:A$269)=0," ",LOOKUP(O59,PPTO!$J$8:$J$269,PPTO!A$8:A$269))</f>
        <v>6.04</v>
      </c>
      <c r="B59" s="91" t="str">
        <f>IF(LOOKUP(O59,PPTO!$J$8:J$269,PPTO!B$8:B$269)=0," ",LOOKUP(O59,PPTO!$J$8:J$269,PPTO!B$8:B$269))</f>
        <v xml:space="preserve"> </v>
      </c>
      <c r="C59" s="89" t="str">
        <f>IF(LOOKUP(O59,PPTO!$J$8:$J$269,PPTO!D$8:D$269)=0," ",LOOKUP(O59,PPTO!$J$8:$J$269,PPTO!D$8:D$269))</f>
        <v>M2</v>
      </c>
      <c r="D59" s="90" t="str">
        <f>IF(LOOKUP(O59,PPTO!$J$8:$J$269,PPTO!E$8:E$269)=0," ",LOOKUP(O59,PPTO!$J$8:$J$269,PPTO!E$8:E$269))</f>
        <v xml:space="preserve"> </v>
      </c>
      <c r="E59" s="90" t="str">
        <f>IF(LOOKUP(O59,PPTO!$J$8:$J$269,PPTO!F$8:F$269)=0," ",LOOKUP(O59,PPTO!$J$8:$J$269,PPTO!F$8:F$269))</f>
        <v xml:space="preserve"> </v>
      </c>
      <c r="F59" s="90" t="str">
        <f>IF(LOOKUP(O59,PPTO!$J$8:$J$269,PPTO!H$8:H$269)=0," ",LOOKUP(O59,PPTO!$J$8:$J$269,PPTO!H$8:H$269))</f>
        <v xml:space="preserve"> </v>
      </c>
      <c r="G59" s="476" t="str">
        <f t="shared" si="1"/>
        <v>+</v>
      </c>
      <c r="H59" s="102">
        <v>0</v>
      </c>
      <c r="I59" s="102" t="e">
        <f t="shared" si="3"/>
        <v>#VALUE!</v>
      </c>
      <c r="J59" s="477" t="e">
        <f t="shared" si="2"/>
        <v>#VALUE!</v>
      </c>
      <c r="K59" s="102" t="e">
        <f t="shared" si="4"/>
        <v>#VALUE!</v>
      </c>
      <c r="L59" s="102" t="e">
        <f t="shared" si="5"/>
        <v>#VALUE!</v>
      </c>
      <c r="M59" s="175">
        <v>1259</v>
      </c>
      <c r="N59" s="102" t="e">
        <f t="shared" si="6"/>
        <v>#VALUE!</v>
      </c>
      <c r="O59" s="108">
        <f t="shared" si="0"/>
        <v>42</v>
      </c>
    </row>
    <row r="60" spans="1:15">
      <c r="A60" s="87" t="str">
        <f>IF(LOOKUP(O60,PPTO!$J$8:$J$269,PPTO!A$8:A$269)=0," ",LOOKUP(O60,PPTO!$J$8:$J$269,PPTO!A$8:A$269))</f>
        <v>6.05</v>
      </c>
      <c r="B60" s="91" t="str">
        <f>IF(LOOKUP(O60,PPTO!$J$8:J$269,PPTO!B$8:B$269)=0," ",LOOKUP(O60,PPTO!$J$8:J$269,PPTO!B$8:B$269))</f>
        <v xml:space="preserve"> </v>
      </c>
      <c r="C60" s="89" t="str">
        <f>IF(LOOKUP(O60,PPTO!$J$8:$J$269,PPTO!D$8:D$269)=0," ",LOOKUP(O60,PPTO!$J$8:$J$269,PPTO!D$8:D$269))</f>
        <v>ML</v>
      </c>
      <c r="D60" s="90" t="str">
        <f>IF(LOOKUP(O60,PPTO!$J$8:$J$269,PPTO!E$8:E$269)=0," ",LOOKUP(O60,PPTO!$J$8:$J$269,PPTO!E$8:E$269))</f>
        <v xml:space="preserve"> </v>
      </c>
      <c r="E60" s="90" t="str">
        <f>IF(LOOKUP(O60,PPTO!$J$8:$J$269,PPTO!F$8:F$269)=0," ",LOOKUP(O60,PPTO!$J$8:$J$269,PPTO!F$8:F$269))</f>
        <v xml:space="preserve"> </v>
      </c>
      <c r="F60" s="90" t="str">
        <f>IF(LOOKUP(O60,PPTO!$J$8:$J$269,PPTO!H$8:H$269)=0," ",LOOKUP(O60,PPTO!$J$8:$J$269,PPTO!H$8:H$269))</f>
        <v xml:space="preserve"> </v>
      </c>
      <c r="G60" s="476" t="str">
        <f t="shared" si="1"/>
        <v>+</v>
      </c>
      <c r="H60" s="102">
        <v>0</v>
      </c>
      <c r="I60" s="102" t="e">
        <f t="shared" si="3"/>
        <v>#VALUE!</v>
      </c>
      <c r="J60" s="477" t="e">
        <f t="shared" si="2"/>
        <v>#VALUE!</v>
      </c>
      <c r="K60" s="102" t="e">
        <f t="shared" si="4"/>
        <v>#VALUE!</v>
      </c>
      <c r="L60" s="102" t="e">
        <f t="shared" si="5"/>
        <v>#VALUE!</v>
      </c>
      <c r="M60" s="175">
        <v>1259</v>
      </c>
      <c r="N60" s="102" t="e">
        <f t="shared" si="6"/>
        <v>#VALUE!</v>
      </c>
      <c r="O60" s="108">
        <f t="shared" si="0"/>
        <v>43</v>
      </c>
    </row>
    <row r="61" spans="1:15">
      <c r="A61" s="87" t="str">
        <f>IF(LOOKUP(O61,PPTO!$J$8:$J$269,PPTO!A$8:A$269)=0," ",LOOKUP(O61,PPTO!$J$8:$J$269,PPTO!A$8:A$269))</f>
        <v>6.06</v>
      </c>
      <c r="B61" s="91" t="str">
        <f>IF(LOOKUP(O61,PPTO!$J$8:J$269,PPTO!B$8:B$269)=0," ",LOOKUP(O61,PPTO!$J$8:J$269,PPTO!B$8:B$269))</f>
        <v xml:space="preserve"> </v>
      </c>
      <c r="C61" s="89" t="str">
        <f>IF(LOOKUP(O61,PPTO!$J$8:$J$269,PPTO!D$8:D$269)=0," ",LOOKUP(O61,PPTO!$J$8:$J$269,PPTO!D$8:D$269))</f>
        <v>M2</v>
      </c>
      <c r="D61" s="90" t="str">
        <f>IF(LOOKUP(O61,PPTO!$J$8:$J$269,PPTO!E$8:E$269)=0," ",LOOKUP(O61,PPTO!$J$8:$J$269,PPTO!E$8:E$269))</f>
        <v xml:space="preserve"> </v>
      </c>
      <c r="E61" s="90" t="str">
        <f>IF(LOOKUP(O61,PPTO!$J$8:$J$269,PPTO!F$8:F$269)=0," ",LOOKUP(O61,PPTO!$J$8:$J$269,PPTO!F$8:F$269))</f>
        <v xml:space="preserve"> </v>
      </c>
      <c r="F61" s="90" t="str">
        <f>IF(LOOKUP(O61,PPTO!$J$8:$J$269,PPTO!H$8:H$269)=0," ",LOOKUP(O61,PPTO!$J$8:$J$269,PPTO!H$8:H$269))</f>
        <v xml:space="preserve"> </v>
      </c>
      <c r="G61" s="476" t="str">
        <f t="shared" si="1"/>
        <v>+</v>
      </c>
      <c r="H61" s="102">
        <v>0</v>
      </c>
      <c r="I61" s="102" t="e">
        <f t="shared" si="3"/>
        <v>#VALUE!</v>
      </c>
      <c r="J61" s="477" t="e">
        <f t="shared" si="2"/>
        <v>#VALUE!</v>
      </c>
      <c r="K61" s="102" t="e">
        <f t="shared" si="4"/>
        <v>#VALUE!</v>
      </c>
      <c r="L61" s="102" t="e">
        <f t="shared" si="5"/>
        <v>#VALUE!</v>
      </c>
      <c r="M61" s="175">
        <v>140</v>
      </c>
      <c r="N61" s="102" t="e">
        <f t="shared" si="6"/>
        <v>#VALUE!</v>
      </c>
      <c r="O61" s="108">
        <f t="shared" si="0"/>
        <v>44</v>
      </c>
    </row>
    <row r="62" spans="1:15">
      <c r="A62" s="87"/>
      <c r="B62" s="210"/>
      <c r="C62" s="155"/>
      <c r="D62" s="156"/>
      <c r="E62" s="156"/>
      <c r="F62" s="156"/>
      <c r="G62" s="156"/>
      <c r="H62" s="161"/>
      <c r="I62" s="161"/>
      <c r="J62" s="161"/>
      <c r="K62" s="102"/>
      <c r="L62" s="102"/>
      <c r="M62" s="175"/>
      <c r="N62" s="102"/>
      <c r="O62" s="108"/>
    </row>
    <row r="63" spans="1:15">
      <c r="A63" s="87"/>
      <c r="B63" s="275" t="s">
        <v>348</v>
      </c>
      <c r="C63" s="276"/>
      <c r="D63" s="277"/>
      <c r="E63" s="277"/>
      <c r="F63" s="277">
        <v>0</v>
      </c>
      <c r="G63" s="277"/>
      <c r="H63" s="278"/>
      <c r="I63" s="278">
        <v>0</v>
      </c>
      <c r="J63" s="278"/>
      <c r="K63" s="279"/>
      <c r="L63" s="279">
        <v>2</v>
      </c>
      <c r="M63" s="279"/>
      <c r="N63" s="279">
        <v>0</v>
      </c>
      <c r="O63" s="108"/>
    </row>
    <row r="64" spans="1:15" ht="12.75" thickBot="1">
      <c r="A64" s="87"/>
      <c r="B64" s="88"/>
      <c r="C64" s="89"/>
      <c r="D64" s="90"/>
      <c r="E64" s="90"/>
      <c r="F64" s="90"/>
      <c r="G64" s="90"/>
      <c r="H64" s="102"/>
      <c r="I64" s="102"/>
      <c r="J64" s="102"/>
      <c r="K64" s="102"/>
      <c r="L64" s="102"/>
      <c r="M64" s="102"/>
      <c r="N64" s="102"/>
      <c r="O64" s="108"/>
    </row>
    <row r="65" spans="1:15" ht="12.75" thickBot="1">
      <c r="A65" s="87"/>
      <c r="B65" s="358" t="s">
        <v>323</v>
      </c>
      <c r="C65" s="359"/>
      <c r="D65" s="360"/>
      <c r="E65" s="360"/>
      <c r="F65" s="361">
        <f>SUM(F20:F64)</f>
        <v>0</v>
      </c>
      <c r="G65" s="404"/>
      <c r="H65" s="362"/>
      <c r="I65" s="361" t="e">
        <f>SUM(I20:I64)</f>
        <v>#VALUE!</v>
      </c>
      <c r="J65" s="404"/>
      <c r="K65" s="362"/>
      <c r="L65" s="361" t="e">
        <f>SUM(L20:L64)</f>
        <v>#VALUE!</v>
      </c>
      <c r="M65" s="362"/>
      <c r="N65" s="361" t="e">
        <f>SUM(N20:N64)</f>
        <v>#VALUE!</v>
      </c>
      <c r="O65" s="108"/>
    </row>
    <row r="66" spans="1:15">
      <c r="A66" s="87"/>
      <c r="B66" s="363" t="s">
        <v>174</v>
      </c>
      <c r="C66" s="364" t="s">
        <v>296</v>
      </c>
      <c r="D66" s="365">
        <f>DATOS!E184</f>
        <v>18.5</v>
      </c>
      <c r="E66" s="366"/>
      <c r="F66" s="366">
        <f>ROUND(F$65*$D$66/100,0)</f>
        <v>0</v>
      </c>
      <c r="G66" s="366"/>
      <c r="H66" s="367"/>
      <c r="I66" s="366" t="e">
        <f>ROUND(I$65*$D$66/100,0)</f>
        <v>#VALUE!</v>
      </c>
      <c r="J66" s="366"/>
      <c r="K66" s="367"/>
      <c r="L66" s="366" t="e">
        <f>ROUND(L$65*$D$66/100,0)</f>
        <v>#VALUE!</v>
      </c>
      <c r="M66" s="367"/>
      <c r="N66" s="366" t="e">
        <f>ROUND(N$65*$D$66/100,0)</f>
        <v>#VALUE!</v>
      </c>
      <c r="O66" s="108"/>
    </row>
    <row r="67" spans="1:15">
      <c r="A67" s="87"/>
      <c r="B67" s="368" t="s">
        <v>166</v>
      </c>
      <c r="C67" s="369" t="s">
        <v>296</v>
      </c>
      <c r="D67" s="370">
        <f>DATOS!E186</f>
        <v>5</v>
      </c>
      <c r="E67" s="371"/>
      <c r="F67" s="366">
        <f>ROUND(F$65*$D$67/100,0)</f>
        <v>0</v>
      </c>
      <c r="G67" s="366"/>
      <c r="H67" s="372"/>
      <c r="I67" s="366" t="e">
        <f>ROUND(I$65*$D$67/100,0)</f>
        <v>#VALUE!</v>
      </c>
      <c r="J67" s="366"/>
      <c r="K67" s="372"/>
      <c r="L67" s="366" t="e">
        <f>ROUND(L$65*$D$67/100,0)</f>
        <v>#VALUE!</v>
      </c>
      <c r="M67" s="372"/>
      <c r="N67" s="366" t="e">
        <f>ROUND(N$65*$D$67/100,0)</f>
        <v>#VALUE!</v>
      </c>
      <c r="O67" s="108"/>
    </row>
    <row r="68" spans="1:15" ht="12.75" thickBot="1">
      <c r="A68" s="87"/>
      <c r="B68" s="373" t="s">
        <v>167</v>
      </c>
      <c r="C68" s="374" t="s">
        <v>296</v>
      </c>
      <c r="D68" s="370">
        <f>DATOS!E188</f>
        <v>8</v>
      </c>
      <c r="E68" s="371"/>
      <c r="F68" s="366">
        <f>ROUND(F$65*$D$68/100,0)</f>
        <v>0</v>
      </c>
      <c r="G68" s="366"/>
      <c r="H68" s="372"/>
      <c r="I68" s="366" t="e">
        <f>ROUND(I$65*$D$68/100,0)</f>
        <v>#VALUE!</v>
      </c>
      <c r="J68" s="366"/>
      <c r="K68" s="372"/>
      <c r="L68" s="366" t="e">
        <f>ROUND(L$65*$D$68/100,0)</f>
        <v>#VALUE!</v>
      </c>
      <c r="M68" s="372"/>
      <c r="N68" s="366" t="e">
        <f>ROUND(N$65*$D$68/100,0)</f>
        <v>#VALUE!</v>
      </c>
      <c r="O68" s="108"/>
    </row>
    <row r="69" spans="1:15" ht="12.75" thickBot="1">
      <c r="A69" s="87"/>
      <c r="B69" s="358" t="s">
        <v>324</v>
      </c>
      <c r="C69" s="359"/>
      <c r="D69" s="360"/>
      <c r="E69" s="360"/>
      <c r="F69" s="361">
        <f>SUM(F66:F68)</f>
        <v>0</v>
      </c>
      <c r="G69" s="404"/>
      <c r="H69" s="362"/>
      <c r="I69" s="361" t="e">
        <f>SUM(I66:I68)</f>
        <v>#VALUE!</v>
      </c>
      <c r="J69" s="404"/>
      <c r="K69" s="362"/>
      <c r="L69" s="361" t="e">
        <f>SUM(L66:L68)</f>
        <v>#VALUE!</v>
      </c>
      <c r="M69" s="362"/>
      <c r="N69" s="361" t="e">
        <f>SUM(N66:N68)</f>
        <v>#VALUE!</v>
      </c>
      <c r="O69" s="108"/>
    </row>
    <row r="70" spans="1:15" ht="12.75" thickBot="1">
      <c r="A70" s="87"/>
      <c r="B70" s="1071"/>
      <c r="C70" s="1071"/>
      <c r="D70" s="371"/>
      <c r="E70" s="371"/>
      <c r="F70" s="371"/>
      <c r="G70" s="371"/>
      <c r="H70" s="372"/>
      <c r="I70" s="371"/>
      <c r="J70" s="371"/>
      <c r="K70" s="372"/>
      <c r="L70" s="371"/>
      <c r="M70" s="372"/>
      <c r="N70" s="371"/>
      <c r="O70" s="108"/>
    </row>
    <row r="71" spans="1:15" ht="12.75" thickBot="1">
      <c r="A71" s="87"/>
      <c r="B71" s="358" t="s">
        <v>325</v>
      </c>
      <c r="C71" s="359"/>
      <c r="D71" s="360"/>
      <c r="E71" s="360"/>
      <c r="F71" s="361">
        <f>F65+F69</f>
        <v>0</v>
      </c>
      <c r="G71" s="404"/>
      <c r="H71" s="362"/>
      <c r="I71" s="361" t="e">
        <f>I65+I69</f>
        <v>#VALUE!</v>
      </c>
      <c r="J71" s="404"/>
      <c r="K71" s="362"/>
      <c r="L71" s="361" t="e">
        <f>L65+L69</f>
        <v>#VALUE!</v>
      </c>
      <c r="M71" s="362"/>
      <c r="N71" s="361" t="e">
        <f>N65+N69</f>
        <v>#VALUE!</v>
      </c>
      <c r="O71" s="108"/>
    </row>
    <row r="72" spans="1:15">
      <c r="A72" s="87" t="str">
        <f>IF(LOOKUP(O72,PPTO!$J$8:$J$269,PPTO!A$8:A$269)=0," ",LOOKUP(O72,PPTO!$J$8:$J$269,PPTO!A$8:A$269))</f>
        <v xml:space="preserve"> </v>
      </c>
      <c r="B72" s="91" t="str">
        <f>IF(LOOKUP(O72,PPTO!$J$8:J$269,PPTO!B$8:B$269)=0," ",LOOKUP(O72,PPTO!$J$8:J$269,PPTO!B$8:B$269))</f>
        <v xml:space="preserve"> </v>
      </c>
      <c r="C72" s="89" t="str">
        <f>IF(LOOKUP(O72,PPTO!$J$8:$J$269,PPTO!D$8:D$269)=0," ",LOOKUP(O72,PPTO!$J$8:$J$269,PPTO!D$8:D$269))</f>
        <v xml:space="preserve"> </v>
      </c>
      <c r="D72" s="90" t="str">
        <f>IF(LOOKUP(O72,PPTO!$J$8:$J$269,PPTO!E$8:E$269)=0," ",LOOKUP(O72,PPTO!$J$8:$J$269,PPTO!E$8:E$269))</f>
        <v xml:space="preserve"> </v>
      </c>
      <c r="E72" s="90" t="str">
        <f>IF(LOOKUP(O72,PPTO!$J$8:$J$269,PPTO!F$8:F$269)=0," ",LOOKUP(O72,PPTO!$J$8:$J$269,PPTO!F$8:F$269))</f>
        <v xml:space="preserve"> </v>
      </c>
      <c r="F72" s="90" t="str">
        <f>IF(LOOKUP(O72,PPTO!$J$8:$J$269,PPTO!H$8:H$269)=0," ",LOOKUP(O72,PPTO!$J$8:$J$269,PPTO!H$8:H$269))</f>
        <v xml:space="preserve"> </v>
      </c>
      <c r="G72" s="90"/>
      <c r="H72" s="102"/>
      <c r="I72" s="102"/>
      <c r="J72" s="102"/>
      <c r="K72" s="102"/>
      <c r="L72" s="102"/>
      <c r="M72" s="102"/>
      <c r="N72" s="102"/>
      <c r="O72" s="108">
        <v>45</v>
      </c>
    </row>
    <row r="73" spans="1:15">
      <c r="A73" s="92">
        <f>IF(LOOKUP(O73,PPTO!$J$8:$J$269,PPTO!A$8:A$269)=0," ",LOOKUP(O73,PPTO!$J$8:$J$269,PPTO!A$8:A$269))</f>
        <v>7</v>
      </c>
      <c r="B73" s="88" t="str">
        <f>IF(LOOKUP(O73,PPTO!$J$8:J$269,PPTO!B$8:B$269)=0," ",LOOKUP(O73,PPTO!$J$8:J$269,PPTO!B$8:B$269))</f>
        <v>SUMINISTRO DE TUBERIA</v>
      </c>
      <c r="C73" s="89" t="str">
        <f>IF(LOOKUP(O73,PPTO!$J$8:$J$269,PPTO!D$8:D$269)=0," ",LOOKUP(O73,PPTO!$J$8:$J$269,PPTO!D$8:D$269))</f>
        <v xml:space="preserve"> </v>
      </c>
      <c r="D73" s="90" t="str">
        <f>IF(LOOKUP(O73,PPTO!$J$8:$J$269,PPTO!E$8:E$269)=0," ",LOOKUP(O73,PPTO!$J$8:$J$269,PPTO!E$8:E$269))</f>
        <v xml:space="preserve"> </v>
      </c>
      <c r="E73" s="90" t="str">
        <f>IF(LOOKUP(O73,PPTO!$J$8:$J$269,PPTO!F$8:F$269)=0," ",LOOKUP(O73,PPTO!$J$8:$J$269,PPTO!F$8:F$269))</f>
        <v xml:space="preserve"> </v>
      </c>
      <c r="F73" s="90" t="str">
        <f>IF(LOOKUP(O73,PPTO!$J$8:$J$269,PPTO!H$8:H$269)=0," ",LOOKUP(O73,PPTO!$J$8:$J$269,PPTO!H$8:H$269))</f>
        <v xml:space="preserve"> </v>
      </c>
      <c r="G73" s="90"/>
      <c r="H73" s="102"/>
      <c r="I73" s="102"/>
      <c r="J73" s="102"/>
      <c r="K73" s="102"/>
      <c r="L73" s="102"/>
      <c r="M73" s="175"/>
      <c r="N73" s="102"/>
      <c r="O73" s="108">
        <f>O72+1</f>
        <v>46</v>
      </c>
    </row>
    <row r="74" spans="1:15" ht="24">
      <c r="A74" s="87" t="str">
        <f>IF(LOOKUP(O74,PPTO!$J$8:$J$269,PPTO!A$8:A$269)=0," ",LOOKUP(O74,PPTO!$J$8:$J$269,PPTO!A$8:A$269))</f>
        <v>7.01</v>
      </c>
      <c r="B74" s="91" t="str">
        <f>IF(LOOKUP(O74,PPTO!$J$8:J$269,PPTO!B$8:B$269)=0," ",LOOKUP(O74,PPTO!$J$8:J$269,PPTO!B$8:B$269))</f>
        <v>SUM DE TUBERIA PVC UNION MECANICA PARA ALCANTARILLADOS 6", 160 MM</v>
      </c>
      <c r="C74" s="89" t="str">
        <f>IF(LOOKUP(O74,PPTO!$J$8:$J$269,PPTO!D$8:D$269)=0," ",LOOKUP(O74,PPTO!$J$8:$J$269,PPTO!D$8:D$269))</f>
        <v>ML</v>
      </c>
      <c r="D74" s="90" t="str">
        <f>IF(LOOKUP(O74,PPTO!$J$8:$J$269,PPTO!E$8:E$269)=0," ",LOOKUP(O74,PPTO!$J$8:$J$269,PPTO!E$8:E$269))</f>
        <v xml:space="preserve"> </v>
      </c>
      <c r="E74" s="90" t="str">
        <f>IF(LOOKUP(O74,PPTO!$J$8:$J$269,PPTO!F$8:F$269)=0," ",LOOKUP(O74,PPTO!$J$8:$J$269,PPTO!F$8:F$269))</f>
        <v xml:space="preserve"> </v>
      </c>
      <c r="F74" s="90" t="str">
        <f>IF(LOOKUP(O74,PPTO!$J$8:$J$269,PPTO!H$8:H$269)=0," ",LOOKUP(O74,PPTO!$J$8:$J$269,PPTO!H$8:H$269))</f>
        <v xml:space="preserve"> </v>
      </c>
      <c r="G74" s="90"/>
      <c r="H74" s="102">
        <v>0</v>
      </c>
      <c r="I74" s="102" t="e">
        <f t="shared" ref="I74:I78" si="7">ROUND(H74*E74,0)</f>
        <v>#VALUE!</v>
      </c>
      <c r="J74" s="102"/>
      <c r="K74" s="102" t="e">
        <f t="shared" ref="K74:K78" si="8">M74-D74</f>
        <v>#VALUE!</v>
      </c>
      <c r="L74" s="102" t="e">
        <f t="shared" ref="L74:L78" si="9">ROUND(K74*E74,0)</f>
        <v>#VALUE!</v>
      </c>
      <c r="M74" s="175">
        <v>7554</v>
      </c>
      <c r="N74" s="102" t="e">
        <f t="shared" ref="N74:N78" si="10">ROUND(M74*E74,0)</f>
        <v>#VALUE!</v>
      </c>
      <c r="O74" s="108">
        <f t="shared" ref="O74:O78" si="11">O73+1</f>
        <v>47</v>
      </c>
    </row>
    <row r="75" spans="1:15">
      <c r="A75" s="87" t="str">
        <f>IF(LOOKUP(O75,PPTO!$J$8:$J$269,PPTO!A$8:A$269)=0," ",LOOKUP(O75,PPTO!$J$8:$J$269,PPTO!A$8:A$269))</f>
        <v>7.02</v>
      </c>
      <c r="B75" s="91" t="str">
        <f>IF(LOOKUP(O75,PPTO!$J$8:J$269,PPTO!B$8:B$269)=0," ",LOOKUP(O75,PPTO!$J$8:J$269,PPTO!B$8:B$269))</f>
        <v>SUM TUB PVC 8" ALC</v>
      </c>
      <c r="C75" s="89" t="str">
        <f>IF(LOOKUP(O75,PPTO!$J$8:$J$269,PPTO!D$8:D$269)=0," ",LOOKUP(O75,PPTO!$J$8:$J$269,PPTO!D$8:D$269))</f>
        <v>ML</v>
      </c>
      <c r="D75" s="90" t="str">
        <f>IF(LOOKUP(O75,PPTO!$J$8:$J$269,PPTO!E$8:E$269)=0," ",LOOKUP(O75,PPTO!$J$8:$J$269,PPTO!E$8:E$269))</f>
        <v xml:space="preserve"> </v>
      </c>
      <c r="E75" s="90" t="str">
        <f>IF(LOOKUP(O75,PPTO!$J$8:$J$269,PPTO!F$8:F$269)=0," ",LOOKUP(O75,PPTO!$J$8:$J$269,PPTO!F$8:F$269))</f>
        <v xml:space="preserve"> </v>
      </c>
      <c r="F75" s="90" t="str">
        <f>IF(LOOKUP(O75,PPTO!$J$8:$J$269,PPTO!H$8:H$269)=0," ",LOOKUP(O75,PPTO!$J$8:$J$269,PPTO!H$8:H$269))</f>
        <v xml:space="preserve"> </v>
      </c>
      <c r="G75" s="90"/>
      <c r="H75" s="102">
        <v>0</v>
      </c>
      <c r="I75" s="102" t="e">
        <f t="shared" si="7"/>
        <v>#VALUE!</v>
      </c>
      <c r="J75" s="102"/>
      <c r="K75" s="102" t="e">
        <f t="shared" si="8"/>
        <v>#VALUE!</v>
      </c>
      <c r="L75" s="102" t="e">
        <f t="shared" si="9"/>
        <v>#VALUE!</v>
      </c>
      <c r="M75" s="175">
        <v>10629.07</v>
      </c>
      <c r="N75" s="102" t="e">
        <f t="shared" si="10"/>
        <v>#VALUE!</v>
      </c>
      <c r="O75" s="108">
        <f t="shared" si="11"/>
        <v>48</v>
      </c>
    </row>
    <row r="76" spans="1:15">
      <c r="A76" s="87" t="str">
        <f>IF(LOOKUP(O76,PPTO!$J$8:$J$269,PPTO!A$8:A$269)=0," ",LOOKUP(O76,PPTO!$J$8:$J$269,PPTO!A$8:A$269))</f>
        <v>7.03</v>
      </c>
      <c r="B76" s="91" t="str">
        <f>IF(LOOKUP(O76,PPTO!$J$8:J$269,PPTO!B$8:B$269)=0," ",LOOKUP(O76,PPTO!$J$8:J$269,PPTO!B$8:B$269))</f>
        <v>SUM TUB PVC 10" ALC</v>
      </c>
      <c r="C76" s="89" t="str">
        <f>IF(LOOKUP(O76,PPTO!$J$8:$J$269,PPTO!D$8:D$269)=0," ",LOOKUP(O76,PPTO!$J$8:$J$269,PPTO!D$8:D$269))</f>
        <v>ML</v>
      </c>
      <c r="D76" s="90" t="str">
        <f>IF(LOOKUP(O76,PPTO!$J$8:$J$269,PPTO!E$8:E$269)=0," ",LOOKUP(O76,PPTO!$J$8:$J$269,PPTO!E$8:E$269))</f>
        <v xml:space="preserve"> </v>
      </c>
      <c r="E76" s="90" t="str">
        <f>IF(LOOKUP(O76,PPTO!$J$8:$J$269,PPTO!F$8:F$269)=0," ",LOOKUP(O76,PPTO!$J$8:$J$269,PPTO!F$8:F$269))</f>
        <v xml:space="preserve"> </v>
      </c>
      <c r="F76" s="90" t="str">
        <f>IF(LOOKUP(O76,PPTO!$J$8:$J$269,PPTO!H$8:H$269)=0," ",LOOKUP(O76,PPTO!$J$8:$J$269,PPTO!H$8:H$269))</f>
        <v xml:space="preserve"> </v>
      </c>
      <c r="G76" s="90"/>
      <c r="H76" s="102">
        <v>0</v>
      </c>
      <c r="I76" s="102" t="e">
        <f t="shared" si="7"/>
        <v>#VALUE!</v>
      </c>
      <c r="J76" s="102"/>
      <c r="K76" s="102" t="e">
        <f t="shared" si="8"/>
        <v>#VALUE!</v>
      </c>
      <c r="L76" s="102" t="e">
        <f t="shared" si="9"/>
        <v>#VALUE!</v>
      </c>
      <c r="M76" s="175">
        <v>119.02</v>
      </c>
      <c r="N76" s="102" t="e">
        <f t="shared" si="10"/>
        <v>#VALUE!</v>
      </c>
      <c r="O76" s="108">
        <f t="shared" si="11"/>
        <v>49</v>
      </c>
    </row>
    <row r="77" spans="1:15">
      <c r="A77" s="87" t="str">
        <f>IF(LOOKUP(O77,PPTO!$J$8:$J$269,PPTO!A$8:A$269)=0," ",LOOKUP(O77,PPTO!$J$8:$J$269,PPTO!A$8:A$269))</f>
        <v>7.04</v>
      </c>
      <c r="B77" s="91" t="str">
        <f>IF(LOOKUP(O77,PPTO!$J$8:J$269,PPTO!B$8:B$269)=0," ",LOOKUP(O77,PPTO!$J$8:J$269,PPTO!B$8:B$269))</f>
        <v>SUM TUB PVC 12" ALC</v>
      </c>
      <c r="C77" s="89" t="str">
        <f>IF(LOOKUP(O77,PPTO!$J$8:$J$269,PPTO!D$8:D$269)=0," ",LOOKUP(O77,PPTO!$J$8:$J$269,PPTO!D$8:D$269))</f>
        <v>ML</v>
      </c>
      <c r="D77" s="90" t="str">
        <f>IF(LOOKUP(O77,PPTO!$J$8:$J$269,PPTO!E$8:E$269)=0," ",LOOKUP(O77,PPTO!$J$8:$J$269,PPTO!E$8:E$269))</f>
        <v xml:space="preserve"> </v>
      </c>
      <c r="E77" s="90" t="str">
        <f>IF(LOOKUP(O77,PPTO!$J$8:$J$269,PPTO!F$8:F$269)=0," ",LOOKUP(O77,PPTO!$J$8:$J$269,PPTO!F$8:F$269))</f>
        <v xml:space="preserve"> </v>
      </c>
      <c r="F77" s="90" t="str">
        <f>IF(LOOKUP(O77,PPTO!$J$8:$J$269,PPTO!H$8:H$269)=0," ",LOOKUP(O77,PPTO!$J$8:$J$269,PPTO!H$8:H$269))</f>
        <v xml:space="preserve"> </v>
      </c>
      <c r="G77" s="90"/>
      <c r="H77" s="102">
        <v>0</v>
      </c>
      <c r="I77" s="102" t="e">
        <f t="shared" si="7"/>
        <v>#VALUE!</v>
      </c>
      <c r="J77" s="102"/>
      <c r="K77" s="102" t="e">
        <f t="shared" si="8"/>
        <v>#VALUE!</v>
      </c>
      <c r="L77" s="102" t="e">
        <f t="shared" si="9"/>
        <v>#VALUE!</v>
      </c>
      <c r="M77" s="175">
        <v>293.73</v>
      </c>
      <c r="N77" s="102" t="e">
        <f t="shared" si="10"/>
        <v>#VALUE!</v>
      </c>
      <c r="O77" s="108">
        <f t="shared" si="11"/>
        <v>50</v>
      </c>
    </row>
    <row r="78" spans="1:15">
      <c r="A78" s="87" t="str">
        <f>IF(LOOKUP(O78,PPTO!$J$8:$J$269,PPTO!A$8:A$269)=0," ",LOOKUP(O78,PPTO!$J$8:$J$269,PPTO!A$8:A$269))</f>
        <v>7.05</v>
      </c>
      <c r="B78" s="91" t="str">
        <f>IF(LOOKUP(O78,PPTO!$J$8:J$269,PPTO!B$8:B$269)=0," ",LOOKUP(O78,PPTO!$J$8:J$269,PPTO!B$8:B$269))</f>
        <v>SUMINISTRO TUB PVC NOVAFORT 14 "</v>
      </c>
      <c r="C78" s="89" t="str">
        <f>IF(LOOKUP(O78,PPTO!$J$8:$J$269,PPTO!D$8:D$269)=0," ",LOOKUP(O78,PPTO!$J$8:$J$269,PPTO!D$8:D$269))</f>
        <v>ML</v>
      </c>
      <c r="D78" s="90" t="str">
        <f>IF(LOOKUP(O78,PPTO!$J$8:$J$269,PPTO!E$8:E$269)=0," ",LOOKUP(O78,PPTO!$J$8:$J$269,PPTO!E$8:E$269))</f>
        <v xml:space="preserve"> </v>
      </c>
      <c r="E78" s="90" t="str">
        <f>IF(LOOKUP(O78,PPTO!$J$8:$J$269,PPTO!F$8:F$269)=0," ",LOOKUP(O78,PPTO!$J$8:$J$269,PPTO!F$8:F$269))</f>
        <v xml:space="preserve"> </v>
      </c>
      <c r="F78" s="90" t="str">
        <f>IF(LOOKUP(O78,PPTO!$J$8:$J$269,PPTO!H$8:H$269)=0," ",LOOKUP(O78,PPTO!$J$8:$J$269,PPTO!H$8:H$269))</f>
        <v xml:space="preserve"> </v>
      </c>
      <c r="G78" s="90"/>
      <c r="H78" s="102">
        <v>0</v>
      </c>
      <c r="I78" s="102" t="e">
        <f t="shared" si="7"/>
        <v>#VALUE!</v>
      </c>
      <c r="J78" s="102"/>
      <c r="K78" s="102" t="e">
        <f t="shared" si="8"/>
        <v>#VALUE!</v>
      </c>
      <c r="L78" s="102" t="e">
        <f t="shared" si="9"/>
        <v>#VALUE!</v>
      </c>
      <c r="M78" s="175">
        <v>915</v>
      </c>
      <c r="N78" s="102" t="e">
        <f t="shared" si="10"/>
        <v>#VALUE!</v>
      </c>
      <c r="O78" s="108">
        <f t="shared" si="11"/>
        <v>51</v>
      </c>
    </row>
    <row r="79" spans="1:15">
      <c r="A79" s="87"/>
      <c r="B79" s="210"/>
      <c r="C79" s="155"/>
      <c r="D79" s="156"/>
      <c r="E79" s="156"/>
      <c r="F79" s="156"/>
      <c r="G79" s="156"/>
      <c r="H79" s="161"/>
      <c r="I79" s="161"/>
      <c r="J79" s="161"/>
      <c r="K79" s="102"/>
      <c r="L79" s="102"/>
      <c r="M79" s="175"/>
      <c r="N79" s="102"/>
      <c r="O79" s="108"/>
    </row>
    <row r="80" spans="1:15">
      <c r="A80" s="87"/>
      <c r="B80" s="275" t="s">
        <v>348</v>
      </c>
      <c r="C80" s="276"/>
      <c r="D80" s="277"/>
      <c r="E80" s="277"/>
      <c r="F80" s="277">
        <v>0</v>
      </c>
      <c r="G80" s="277"/>
      <c r="H80" s="278"/>
      <c r="I80" s="278">
        <v>0</v>
      </c>
      <c r="J80" s="278"/>
      <c r="K80" s="279"/>
      <c r="L80" s="279">
        <v>0</v>
      </c>
      <c r="M80" s="279"/>
      <c r="N80" s="279">
        <v>0</v>
      </c>
      <c r="O80" s="108"/>
    </row>
    <row r="81" spans="1:15" ht="12.75" thickBot="1">
      <c r="A81" s="87"/>
      <c r="B81" s="91"/>
      <c r="C81" s="89"/>
      <c r="D81" s="90"/>
      <c r="E81" s="90"/>
      <c r="F81" s="90"/>
      <c r="G81" s="90"/>
      <c r="H81" s="102"/>
      <c r="I81" s="102"/>
      <c r="J81" s="102"/>
      <c r="K81" s="102"/>
      <c r="L81" s="102"/>
      <c r="M81" s="102"/>
      <c r="N81" s="102"/>
      <c r="O81" s="108"/>
    </row>
    <row r="82" spans="1:15" ht="12.75" thickBot="1">
      <c r="A82" s="92"/>
      <c r="B82" s="358" t="s">
        <v>326</v>
      </c>
      <c r="C82" s="359"/>
      <c r="D82" s="360"/>
      <c r="E82" s="360"/>
      <c r="F82" s="361">
        <f>SUM(F74:F81)</f>
        <v>0</v>
      </c>
      <c r="G82" s="404"/>
      <c r="H82" s="362"/>
      <c r="I82" s="361" t="e">
        <f>SUM(I74:I81)</f>
        <v>#VALUE!</v>
      </c>
      <c r="J82" s="404"/>
      <c r="K82" s="362"/>
      <c r="L82" s="361" t="e">
        <f>SUM(L74:L81)</f>
        <v>#VALUE!</v>
      </c>
      <c r="M82" s="362"/>
      <c r="N82" s="361" t="e">
        <f>SUM(N74:N81)</f>
        <v>#VALUE!</v>
      </c>
      <c r="O82" s="108"/>
    </row>
    <row r="83" spans="1:15" ht="12.75" thickBot="1">
      <c r="A83" s="87"/>
      <c r="B83" s="363" t="s">
        <v>174</v>
      </c>
      <c r="C83" s="364" t="s">
        <v>296</v>
      </c>
      <c r="D83" s="365">
        <f>DATOS!E192</f>
        <v>18.5</v>
      </c>
      <c r="E83" s="366"/>
      <c r="F83" s="366">
        <f>ROUND(F$82*$D$83/100,0)</f>
        <v>0</v>
      </c>
      <c r="G83" s="366"/>
      <c r="H83" s="367"/>
      <c r="I83" s="366" t="e">
        <f>ROUND(I$82*$D$83/100,0)</f>
        <v>#VALUE!</v>
      </c>
      <c r="J83" s="366"/>
      <c r="K83" s="367"/>
      <c r="L83" s="366" t="e">
        <f>ROUND(L$82*$D$83/100,0)</f>
        <v>#VALUE!</v>
      </c>
      <c r="M83" s="367"/>
      <c r="N83" s="366" t="e">
        <f>ROUND(N$82*$D$83/100,0)</f>
        <v>#VALUE!</v>
      </c>
      <c r="O83" s="108"/>
    </row>
    <row r="84" spans="1:15" ht="12.75" thickBot="1">
      <c r="A84" s="87"/>
      <c r="B84" s="358" t="s">
        <v>327</v>
      </c>
      <c r="C84" s="359"/>
      <c r="D84" s="360"/>
      <c r="E84" s="360"/>
      <c r="F84" s="361">
        <f>F83</f>
        <v>0</v>
      </c>
      <c r="G84" s="404"/>
      <c r="H84" s="362"/>
      <c r="I84" s="361" t="e">
        <f>I83</f>
        <v>#VALUE!</v>
      </c>
      <c r="J84" s="404"/>
      <c r="K84" s="362"/>
      <c r="L84" s="361" t="e">
        <f>L83</f>
        <v>#VALUE!</v>
      </c>
      <c r="M84" s="362"/>
      <c r="N84" s="361" t="e">
        <f>N83</f>
        <v>#VALUE!</v>
      </c>
      <c r="O84" s="108"/>
    </row>
    <row r="85" spans="1:15" ht="12.75" thickBot="1">
      <c r="A85" s="87"/>
      <c r="B85" s="1071"/>
      <c r="C85" s="1071"/>
      <c r="D85" s="371"/>
      <c r="E85" s="371"/>
      <c r="F85" s="371"/>
      <c r="G85" s="371"/>
      <c r="H85" s="372"/>
      <c r="I85" s="371"/>
      <c r="J85" s="371"/>
      <c r="K85" s="372"/>
      <c r="L85" s="371"/>
      <c r="M85" s="372"/>
      <c r="N85" s="371"/>
      <c r="O85" s="108"/>
    </row>
    <row r="86" spans="1:15" ht="12.75" thickBot="1">
      <c r="A86" s="87"/>
      <c r="B86" s="358" t="s">
        <v>328</v>
      </c>
      <c r="C86" s="359"/>
      <c r="D86" s="360"/>
      <c r="E86" s="360"/>
      <c r="F86" s="361">
        <f>F82+F84</f>
        <v>0</v>
      </c>
      <c r="G86" s="404"/>
      <c r="H86" s="362"/>
      <c r="I86" s="361" t="e">
        <f>I82+I84</f>
        <v>#VALUE!</v>
      </c>
      <c r="J86" s="404"/>
      <c r="K86" s="362"/>
      <c r="L86" s="361" t="e">
        <f>L82+L84</f>
        <v>#VALUE!</v>
      </c>
      <c r="M86" s="362"/>
      <c r="N86" s="361" t="e">
        <f>N82+N84</f>
        <v>#VALUE!</v>
      </c>
      <c r="O86" s="108"/>
    </row>
    <row r="87" spans="1:15" ht="12.75" thickBot="1">
      <c r="A87" s="87"/>
      <c r="B87" s="1072"/>
      <c r="C87" s="1072"/>
      <c r="D87" s="371"/>
      <c r="E87" s="371"/>
      <c r="F87" s="371"/>
      <c r="G87" s="371"/>
      <c r="H87" s="372"/>
      <c r="I87" s="371"/>
      <c r="J87" s="371"/>
      <c r="K87" s="372"/>
      <c r="L87" s="371"/>
      <c r="M87" s="372"/>
      <c r="N87" s="371"/>
      <c r="O87" s="108"/>
    </row>
    <row r="88" spans="1:15" ht="12.75" thickBot="1">
      <c r="A88" s="87"/>
      <c r="B88" s="358" t="s">
        <v>325</v>
      </c>
      <c r="C88" s="359"/>
      <c r="D88" s="360"/>
      <c r="E88" s="360"/>
      <c r="F88" s="361">
        <f>F71</f>
        <v>0</v>
      </c>
      <c r="G88" s="404"/>
      <c r="H88" s="362"/>
      <c r="I88" s="361" t="e">
        <f>I71</f>
        <v>#VALUE!</v>
      </c>
      <c r="J88" s="404"/>
      <c r="K88" s="362"/>
      <c r="L88" s="361" t="e">
        <f>L71</f>
        <v>#VALUE!</v>
      </c>
      <c r="M88" s="362"/>
      <c r="N88" s="361" t="e">
        <f>N71</f>
        <v>#VALUE!</v>
      </c>
      <c r="O88" s="108"/>
    </row>
    <row r="89" spans="1:15" ht="12.75" thickBot="1">
      <c r="A89" s="87"/>
      <c r="B89" s="1072"/>
      <c r="C89" s="1072"/>
      <c r="D89" s="371"/>
      <c r="E89" s="371"/>
      <c r="F89" s="371"/>
      <c r="G89" s="371"/>
      <c r="H89" s="372"/>
      <c r="I89" s="371"/>
      <c r="J89" s="371"/>
      <c r="K89" s="372"/>
      <c r="L89" s="371"/>
      <c r="M89" s="372"/>
      <c r="N89" s="371"/>
      <c r="O89" s="108"/>
    </row>
    <row r="90" spans="1:15" ht="12.75" thickBot="1">
      <c r="A90" s="87"/>
      <c r="B90" s="358" t="s">
        <v>328</v>
      </c>
      <c r="C90" s="359"/>
      <c r="D90" s="360"/>
      <c r="E90" s="360"/>
      <c r="F90" s="361">
        <f>F86</f>
        <v>0</v>
      </c>
      <c r="G90" s="404"/>
      <c r="H90" s="362"/>
      <c r="I90" s="361" t="e">
        <f>I86</f>
        <v>#VALUE!</v>
      </c>
      <c r="J90" s="404"/>
      <c r="K90" s="362"/>
      <c r="L90" s="361" t="e">
        <f>L86</f>
        <v>#VALUE!</v>
      </c>
      <c r="M90" s="362"/>
      <c r="N90" s="361" t="e">
        <f>N86</f>
        <v>#VALUE!</v>
      </c>
      <c r="O90" s="108"/>
    </row>
    <row r="91" spans="1:15" ht="12.75" thickBot="1">
      <c r="A91" s="87"/>
      <c r="B91" s="979"/>
      <c r="C91" s="979"/>
      <c r="D91" s="375"/>
      <c r="E91" s="376"/>
      <c r="F91" s="376"/>
      <c r="G91" s="405"/>
      <c r="H91" s="377"/>
      <c r="I91" s="376"/>
      <c r="J91" s="405"/>
      <c r="K91" s="377"/>
      <c r="L91" s="376"/>
      <c r="M91" s="377"/>
      <c r="N91" s="376"/>
      <c r="O91" s="108"/>
    </row>
    <row r="92" spans="1:15" ht="12.75" thickBot="1">
      <c r="A92" s="87"/>
      <c r="B92" s="378" t="s">
        <v>117</v>
      </c>
      <c r="C92" s="379"/>
      <c r="D92" s="380"/>
      <c r="E92" s="380"/>
      <c r="F92" s="381">
        <f>F88+F90</f>
        <v>0</v>
      </c>
      <c r="G92" s="406"/>
      <c r="H92" s="382"/>
      <c r="I92" s="383" t="e">
        <f>I88+I90</f>
        <v>#VALUE!</v>
      </c>
      <c r="J92" s="473"/>
      <c r="K92" s="384"/>
      <c r="L92" s="383" t="e">
        <f>L88+L90</f>
        <v>#VALUE!</v>
      </c>
      <c r="M92" s="385"/>
      <c r="N92" s="386" t="e">
        <f>N88+N90</f>
        <v>#VALUE!</v>
      </c>
      <c r="O92" s="108"/>
    </row>
    <row r="93" spans="1:15">
      <c r="A93" s="87"/>
      <c r="B93" s="91"/>
      <c r="C93" s="89"/>
      <c r="D93" s="90"/>
      <c r="E93" s="90"/>
      <c r="F93" s="90"/>
      <c r="G93" s="90"/>
      <c r="H93" s="102"/>
      <c r="I93" s="102"/>
      <c r="J93" s="102"/>
      <c r="K93" s="102"/>
      <c r="L93" s="102"/>
      <c r="M93" s="102"/>
      <c r="N93" s="102"/>
      <c r="O93" s="108"/>
    </row>
    <row r="94" spans="1:15">
      <c r="A94" s="87"/>
      <c r="B94" s="88"/>
      <c r="C94" s="89"/>
      <c r="D94" s="90"/>
      <c r="E94" s="90"/>
      <c r="F94" s="90"/>
      <c r="G94" s="90"/>
      <c r="H94" s="102"/>
      <c r="I94" s="102"/>
      <c r="J94" s="102"/>
      <c r="K94" s="102"/>
      <c r="L94" s="102"/>
      <c r="M94" s="102"/>
      <c r="N94" s="102"/>
      <c r="O94" s="108"/>
    </row>
    <row r="95" spans="1:15">
      <c r="A95" s="84"/>
      <c r="B95" s="93"/>
      <c r="C95" s="84"/>
      <c r="D95" s="86"/>
      <c r="E95" s="86"/>
      <c r="F95" s="86"/>
      <c r="G95" s="86"/>
      <c r="H95" s="85"/>
      <c r="I95" s="85"/>
      <c r="J95" s="85"/>
      <c r="K95" s="85"/>
      <c r="L95" s="85"/>
      <c r="M95" s="85"/>
      <c r="N95" s="85"/>
      <c r="O95" s="108"/>
    </row>
    <row r="96" spans="1:15">
      <c r="A96" s="84"/>
      <c r="B96" s="94"/>
      <c r="C96" s="84"/>
      <c r="D96" s="86"/>
      <c r="E96" s="86"/>
      <c r="F96" s="86"/>
      <c r="G96" s="86"/>
      <c r="H96" s="85"/>
      <c r="I96" s="85"/>
      <c r="J96" s="85"/>
      <c r="K96" s="85"/>
      <c r="L96" s="85"/>
      <c r="M96" s="85"/>
      <c r="N96" s="85"/>
      <c r="O96" s="108"/>
    </row>
    <row r="97" spans="1:15">
      <c r="A97" s="84"/>
      <c r="B97" s="1066" t="s">
        <v>333</v>
      </c>
      <c r="C97" s="1066"/>
      <c r="D97" s="1066"/>
      <c r="E97" s="1066"/>
      <c r="F97" s="1066"/>
      <c r="G97" s="1066"/>
      <c r="H97" s="1066"/>
      <c r="I97" s="1066"/>
      <c r="J97" s="1066"/>
      <c r="K97" s="1066"/>
      <c r="L97" s="1066"/>
      <c r="M97" s="1066"/>
      <c r="N97" s="1066"/>
      <c r="O97" s="108"/>
    </row>
    <row r="98" spans="1:15">
      <c r="A98" s="84"/>
      <c r="B98" s="94"/>
      <c r="C98" s="84"/>
      <c r="D98" s="86"/>
      <c r="E98" s="86"/>
      <c r="F98" s="86"/>
      <c r="G98" s="86"/>
      <c r="H98" s="85"/>
      <c r="I98" s="85"/>
      <c r="J98" s="85"/>
      <c r="K98" s="85"/>
      <c r="L98" s="85"/>
      <c r="M98" s="85"/>
      <c r="N98" s="85"/>
      <c r="O98" s="108"/>
    </row>
    <row r="99" spans="1:15">
      <c r="A99" s="84"/>
      <c r="B99" s="94"/>
      <c r="C99" s="84"/>
      <c r="D99" s="86"/>
      <c r="E99" s="86"/>
      <c r="F99" s="86"/>
      <c r="G99" s="86"/>
      <c r="H99" s="85"/>
      <c r="I99" s="85"/>
      <c r="J99" s="85"/>
      <c r="K99" s="85"/>
      <c r="L99" s="85"/>
      <c r="M99" s="85"/>
      <c r="N99" s="85"/>
      <c r="O99" s="108"/>
    </row>
    <row r="100" spans="1:15">
      <c r="A100" s="84"/>
      <c r="B100" s="94"/>
      <c r="C100" s="84"/>
      <c r="D100" s="86"/>
      <c r="E100" s="86"/>
      <c r="F100" s="86"/>
      <c r="G100" s="86"/>
      <c r="H100" s="85"/>
      <c r="I100" s="85"/>
      <c r="J100" s="85"/>
      <c r="K100" s="85"/>
      <c r="L100" s="85"/>
      <c r="M100" s="85"/>
      <c r="N100" s="85"/>
      <c r="O100" s="108"/>
    </row>
    <row r="101" spans="1:15">
      <c r="A101" s="84"/>
      <c r="B101" s="94"/>
      <c r="C101" s="84"/>
      <c r="D101" s="86"/>
      <c r="E101" s="86"/>
      <c r="F101" s="86"/>
      <c r="G101" s="86"/>
      <c r="H101" s="85"/>
      <c r="I101" s="85"/>
      <c r="J101" s="85"/>
      <c r="K101" s="85"/>
      <c r="L101" s="85"/>
      <c r="M101" s="85"/>
      <c r="N101" s="85"/>
      <c r="O101" s="108"/>
    </row>
    <row r="102" spans="1:15">
      <c r="A102" s="84"/>
      <c r="B102" s="94"/>
      <c r="C102" s="84"/>
      <c r="D102" s="86"/>
      <c r="E102" s="86"/>
      <c r="F102" s="86"/>
      <c r="G102" s="86"/>
      <c r="H102" s="85"/>
      <c r="I102" s="85"/>
      <c r="J102" s="85"/>
      <c r="K102" s="85"/>
      <c r="L102" s="85"/>
      <c r="M102" s="85"/>
      <c r="N102" s="85"/>
      <c r="O102" s="108"/>
    </row>
    <row r="103" spans="1:15">
      <c r="A103" s="84"/>
      <c r="B103" s="85" t="s">
        <v>271</v>
      </c>
      <c r="C103" s="85" t="s">
        <v>271</v>
      </c>
      <c r="D103" s="86"/>
      <c r="E103" s="86"/>
      <c r="F103" s="86"/>
      <c r="G103" s="86"/>
      <c r="H103" s="85" t="s">
        <v>271</v>
      </c>
      <c r="I103" s="85"/>
      <c r="J103" s="85"/>
      <c r="K103" s="85"/>
      <c r="L103" s="94" t="s">
        <v>271</v>
      </c>
      <c r="M103" s="85"/>
      <c r="N103" s="85"/>
      <c r="O103" s="108"/>
    </row>
    <row r="104" spans="1:15">
      <c r="A104" s="84"/>
      <c r="B104" s="115">
        <f>IF(DATOS!E16="Persona Jurídica",DATOS!G20,DATOS!G16)</f>
        <v>0</v>
      </c>
      <c r="C104" s="128">
        <f>IF(DATOS!E10="CONTRATO DE OBRA",IF(DATOS!E24="Persona Jurídica",DATOS!G28,DATOS!G24),DATOS!G30)</f>
        <v>0</v>
      </c>
      <c r="D104" s="86"/>
      <c r="E104" s="86"/>
      <c r="F104" s="86"/>
      <c r="G104" s="86"/>
      <c r="H104" s="874">
        <f>DATOS!G30</f>
        <v>0</v>
      </c>
      <c r="I104" s="85"/>
      <c r="J104" s="85"/>
      <c r="K104" s="85"/>
      <c r="L104" s="115">
        <f>DATOS!E42</f>
        <v>0</v>
      </c>
      <c r="M104" s="85"/>
      <c r="N104" s="85"/>
      <c r="O104" s="108"/>
    </row>
    <row r="105" spans="1:15">
      <c r="A105" s="84"/>
      <c r="B105" s="85" t="str">
        <f>IF(DATOS!E16="Persona Jurídica",DATOS!G16,"CONTRATISTA")</f>
        <v>CONTRATISTA</v>
      </c>
      <c r="C105" s="127" t="str">
        <f>IF(DATOS!E24="Persona Jurídica",DATOS!G24,"INTERVENTOR")</f>
        <v>INTERVENTOR</v>
      </c>
      <c r="D105" s="86"/>
      <c r="E105" s="86"/>
      <c r="F105" s="86"/>
      <c r="G105" s="86"/>
      <c r="H105" s="85" t="s">
        <v>1143</v>
      </c>
      <c r="I105" s="85"/>
      <c r="J105" s="85"/>
      <c r="K105" s="85"/>
      <c r="L105" s="85" t="s">
        <v>330</v>
      </c>
      <c r="M105" s="85"/>
      <c r="N105" s="85"/>
      <c r="O105" s="108"/>
    </row>
    <row r="106" spans="1:15">
      <c r="A106" s="84"/>
      <c r="B106" s="85" t="str">
        <f>IF(DATOS!E16="Persona jurídica","CONTRATISTA"," ")</f>
        <v xml:space="preserve"> </v>
      </c>
      <c r="C106" s="127" t="str">
        <f>IF(DATOS!E24="Persona jurídica","INTERVENTOR"," ")</f>
        <v xml:space="preserve"> </v>
      </c>
      <c r="D106" s="86"/>
      <c r="E106" s="86"/>
      <c r="F106" s="86"/>
      <c r="G106" s="86"/>
      <c r="I106" s="85"/>
      <c r="J106" s="85"/>
      <c r="K106" s="85"/>
      <c r="L106" s="85" t="s">
        <v>270</v>
      </c>
      <c r="M106" s="85"/>
      <c r="N106" s="85"/>
      <c r="O106" s="108"/>
    </row>
    <row r="107" spans="1:15">
      <c r="A107" s="84"/>
      <c r="B107" s="85"/>
      <c r="C107" s="84"/>
      <c r="D107" s="86"/>
      <c r="E107" s="86"/>
      <c r="F107" s="86"/>
      <c r="G107" s="86"/>
      <c r="H107" s="85"/>
      <c r="I107" s="85"/>
      <c r="J107" s="85"/>
      <c r="K107" s="85"/>
      <c r="L107" s="85"/>
      <c r="M107" s="85"/>
      <c r="N107" s="85"/>
      <c r="O107" s="108"/>
    </row>
    <row r="108" spans="1:15">
      <c r="A108" s="84"/>
      <c r="B108" s="85"/>
      <c r="C108" s="84"/>
      <c r="D108" s="86"/>
      <c r="E108" s="86"/>
      <c r="F108" s="86"/>
      <c r="G108" s="86"/>
      <c r="H108" s="85"/>
      <c r="I108" s="85"/>
      <c r="J108" s="85"/>
      <c r="K108" s="85"/>
      <c r="L108" s="85"/>
      <c r="M108" s="85"/>
      <c r="N108" s="85"/>
      <c r="O108" s="108"/>
    </row>
    <row r="109" spans="1:15">
      <c r="A109" s="84"/>
      <c r="B109" s="85"/>
      <c r="C109" s="84"/>
      <c r="D109" s="86"/>
      <c r="E109" s="86"/>
      <c r="F109" s="86"/>
      <c r="G109" s="86"/>
      <c r="H109" s="85"/>
      <c r="I109" s="85"/>
      <c r="J109" s="85"/>
      <c r="K109" s="85"/>
      <c r="L109" s="85"/>
      <c r="M109" s="85"/>
      <c r="N109" s="85"/>
      <c r="O109" s="108"/>
    </row>
    <row r="110" spans="1:15">
      <c r="A110" s="84"/>
      <c r="B110" s="85"/>
      <c r="C110" s="84"/>
      <c r="D110" s="86"/>
      <c r="E110" s="86"/>
      <c r="F110" s="86"/>
      <c r="G110" s="86"/>
      <c r="H110" s="85"/>
      <c r="I110" s="85"/>
      <c r="J110" s="85"/>
      <c r="K110" s="85"/>
      <c r="L110" s="85"/>
      <c r="M110" s="85"/>
      <c r="N110" s="85"/>
      <c r="O110" s="108"/>
    </row>
    <row r="111" spans="1:15">
      <c r="A111" s="84"/>
      <c r="B111" s="85"/>
      <c r="C111" s="84"/>
      <c r="D111" s="86"/>
      <c r="E111" s="86"/>
      <c r="F111" s="86"/>
      <c r="G111" s="86"/>
      <c r="H111" s="85"/>
      <c r="I111" s="85"/>
      <c r="J111" s="85"/>
      <c r="K111" s="85"/>
      <c r="L111" s="85"/>
      <c r="M111" s="85"/>
      <c r="N111" s="85"/>
      <c r="O111" s="108"/>
    </row>
    <row r="112" spans="1:15">
      <c r="A112" s="84"/>
      <c r="B112" s="85"/>
      <c r="C112" s="84"/>
      <c r="D112" s="86"/>
      <c r="E112" s="86"/>
      <c r="F112" s="86"/>
      <c r="G112" s="86"/>
      <c r="H112" s="85"/>
      <c r="I112" s="85"/>
      <c r="J112" s="85"/>
      <c r="K112" s="85"/>
      <c r="L112" s="85"/>
      <c r="M112" s="85"/>
      <c r="N112" s="85"/>
      <c r="O112" s="108"/>
    </row>
    <row r="113" spans="1:15">
      <c r="A113" s="84"/>
      <c r="B113" s="85"/>
      <c r="C113" s="84"/>
      <c r="D113" s="86"/>
      <c r="E113" s="86"/>
      <c r="F113" s="86"/>
      <c r="G113" s="86"/>
      <c r="H113" s="85"/>
      <c r="I113" s="85"/>
      <c r="J113" s="85"/>
      <c r="K113" s="85"/>
      <c r="L113" s="85"/>
      <c r="M113" s="85"/>
      <c r="N113" s="85"/>
      <c r="O113" s="108"/>
    </row>
    <row r="114" spans="1:15">
      <c r="A114" s="901" t="s">
        <v>1149</v>
      </c>
      <c r="B114" s="85"/>
      <c r="C114" s="84"/>
      <c r="D114" s="86"/>
      <c r="E114" s="873"/>
      <c r="F114" s="873"/>
      <c r="G114" s="873"/>
      <c r="H114" s="85"/>
      <c r="I114" s="85"/>
      <c r="J114" s="85"/>
      <c r="K114" s="85"/>
      <c r="L114" s="85"/>
      <c r="M114" s="85"/>
      <c r="N114" s="85"/>
      <c r="O114" s="108"/>
    </row>
    <row r="115" spans="1:15">
      <c r="A115" s="901" t="s">
        <v>1150</v>
      </c>
      <c r="B115" s="85"/>
      <c r="C115" s="84"/>
      <c r="D115" s="86"/>
      <c r="E115" s="128">
        <f>DATOS!E40</f>
        <v>0</v>
      </c>
      <c r="F115" s="86"/>
      <c r="G115" s="86"/>
      <c r="H115" s="85"/>
      <c r="I115" s="85"/>
      <c r="J115" s="85"/>
      <c r="K115" s="85"/>
      <c r="L115" s="85"/>
      <c r="M115" s="85"/>
      <c r="N115" s="85"/>
      <c r="O115" s="108"/>
    </row>
    <row r="116" spans="1:15">
      <c r="A116" s="901" t="s">
        <v>1151</v>
      </c>
      <c r="B116" s="85"/>
      <c r="C116" s="84"/>
      <c r="D116" s="86"/>
      <c r="E116" s="127" t="s">
        <v>331</v>
      </c>
      <c r="F116" s="86"/>
      <c r="G116" s="86"/>
      <c r="H116" s="85"/>
      <c r="I116" s="85"/>
      <c r="J116" s="85"/>
      <c r="K116" s="85"/>
      <c r="L116" s="85"/>
      <c r="M116" s="85"/>
      <c r="N116" s="85"/>
      <c r="O116" s="108"/>
    </row>
    <row r="117" spans="1:15">
      <c r="B117" s="85"/>
      <c r="C117" s="84"/>
      <c r="D117" s="86"/>
      <c r="E117" s="94" t="s">
        <v>270</v>
      </c>
      <c r="F117" s="86"/>
      <c r="G117" s="86"/>
      <c r="H117" s="85"/>
      <c r="I117" s="85"/>
      <c r="J117" s="85"/>
      <c r="K117" s="85"/>
      <c r="L117" s="85"/>
      <c r="M117" s="85"/>
      <c r="N117" s="85"/>
      <c r="O117" s="108"/>
    </row>
    <row r="118" spans="1:15">
      <c r="A118" s="84"/>
      <c r="B118" s="85"/>
      <c r="C118" s="84"/>
      <c r="D118" s="86"/>
      <c r="E118" s="86"/>
      <c r="F118" s="86"/>
      <c r="G118" s="86"/>
      <c r="H118" s="85"/>
      <c r="I118" s="85"/>
      <c r="J118" s="85"/>
      <c r="K118" s="85"/>
      <c r="L118" s="85"/>
      <c r="M118" s="85"/>
      <c r="N118" s="85"/>
      <c r="O118" s="108"/>
    </row>
    <row r="119" spans="1:15">
      <c r="A119" s="84"/>
      <c r="B119" s="85"/>
      <c r="C119" s="84"/>
      <c r="D119" s="86"/>
      <c r="E119" s="86"/>
      <c r="F119" s="86"/>
      <c r="G119" s="86"/>
      <c r="H119" s="85"/>
      <c r="I119" s="85"/>
      <c r="J119" s="85"/>
      <c r="K119" s="85"/>
      <c r="L119" s="85"/>
      <c r="M119" s="85"/>
      <c r="N119" s="85"/>
      <c r="O119" s="108"/>
    </row>
    <row r="120" spans="1:15">
      <c r="A120" s="84"/>
      <c r="B120" s="85"/>
      <c r="C120" s="84"/>
      <c r="D120" s="86"/>
      <c r="E120" s="86"/>
      <c r="F120" s="86"/>
      <c r="G120" s="86"/>
      <c r="H120" s="85"/>
      <c r="I120" s="85"/>
      <c r="J120" s="85"/>
      <c r="K120" s="85"/>
      <c r="L120" s="85"/>
      <c r="M120" s="85"/>
      <c r="N120" s="85"/>
      <c r="O120" s="108"/>
    </row>
    <row r="121" spans="1:15">
      <c r="A121" s="84"/>
      <c r="B121" s="85"/>
      <c r="C121" s="84"/>
      <c r="D121" s="86"/>
      <c r="E121" s="86"/>
      <c r="F121" s="86"/>
      <c r="G121" s="86"/>
      <c r="H121" s="85"/>
      <c r="I121" s="85"/>
      <c r="J121" s="85"/>
      <c r="K121" s="85"/>
      <c r="L121" s="85"/>
      <c r="M121" s="85"/>
      <c r="N121" s="85"/>
      <c r="O121" s="108"/>
    </row>
    <row r="122" spans="1:15">
      <c r="A122" s="84"/>
      <c r="B122" s="85"/>
      <c r="C122" s="84"/>
      <c r="D122" s="86"/>
      <c r="E122" s="86"/>
      <c r="F122" s="86"/>
      <c r="G122" s="86"/>
      <c r="H122" s="85"/>
      <c r="I122" s="85"/>
      <c r="J122" s="85"/>
      <c r="K122" s="85"/>
      <c r="L122" s="85"/>
      <c r="M122" s="85"/>
      <c r="N122" s="85"/>
      <c r="O122" s="108"/>
    </row>
    <row r="123" spans="1:15">
      <c r="A123" s="84"/>
      <c r="B123" s="85"/>
      <c r="C123" s="84"/>
      <c r="D123" s="86"/>
      <c r="E123" s="86"/>
      <c r="F123" s="86"/>
      <c r="G123" s="86"/>
      <c r="H123" s="85"/>
      <c r="I123" s="85"/>
      <c r="J123" s="85"/>
      <c r="K123" s="85"/>
      <c r="L123" s="85"/>
      <c r="M123" s="85"/>
      <c r="N123" s="85"/>
      <c r="O123" s="108"/>
    </row>
    <row r="124" spans="1:15">
      <c r="A124" s="84"/>
      <c r="B124" s="85"/>
      <c r="C124" s="84"/>
      <c r="D124" s="86"/>
      <c r="E124" s="86"/>
      <c r="F124" s="86"/>
      <c r="G124" s="86"/>
      <c r="H124" s="85"/>
      <c r="I124" s="85"/>
      <c r="J124" s="85"/>
      <c r="K124" s="85"/>
      <c r="L124" s="85"/>
      <c r="M124" s="85"/>
      <c r="N124" s="85"/>
      <c r="O124" s="108"/>
    </row>
    <row r="125" spans="1:15">
      <c r="A125" s="84"/>
      <c r="B125" s="85"/>
      <c r="C125" s="84"/>
      <c r="D125" s="86"/>
      <c r="E125" s="86"/>
      <c r="F125" s="86"/>
      <c r="G125" s="86"/>
      <c r="H125" s="85"/>
      <c r="I125" s="85"/>
      <c r="J125" s="85"/>
      <c r="K125" s="85"/>
      <c r="L125" s="85"/>
      <c r="M125" s="85"/>
      <c r="N125" s="85"/>
      <c r="O125" s="108"/>
    </row>
    <row r="126" spans="1:15">
      <c r="A126" s="84"/>
      <c r="B126" s="85"/>
      <c r="C126" s="84"/>
      <c r="D126" s="86"/>
      <c r="E126" s="86"/>
      <c r="F126" s="86"/>
      <c r="G126" s="86"/>
      <c r="H126" s="85"/>
      <c r="I126" s="85"/>
      <c r="J126" s="85"/>
      <c r="K126" s="85"/>
      <c r="L126" s="85"/>
      <c r="M126" s="85"/>
      <c r="N126" s="85"/>
      <c r="O126" s="108"/>
    </row>
    <row r="127" spans="1:15">
      <c r="A127" s="84"/>
      <c r="B127" s="85"/>
      <c r="C127" s="84"/>
      <c r="D127" s="86"/>
      <c r="E127" s="86"/>
      <c r="F127" s="86"/>
      <c r="G127" s="86"/>
      <c r="H127" s="85"/>
      <c r="I127" s="85"/>
      <c r="J127" s="85"/>
      <c r="K127" s="85"/>
      <c r="L127" s="85"/>
      <c r="M127" s="85"/>
      <c r="N127" s="85"/>
      <c r="O127" s="108"/>
    </row>
    <row r="128" spans="1:15">
      <c r="A128" s="84"/>
      <c r="B128" s="85"/>
      <c r="C128" s="84"/>
      <c r="D128" s="86"/>
      <c r="E128" s="86"/>
      <c r="F128" s="86"/>
      <c r="G128" s="86"/>
      <c r="H128" s="85"/>
      <c r="I128" s="85"/>
      <c r="J128" s="85"/>
      <c r="K128" s="85"/>
      <c r="L128" s="85"/>
      <c r="M128" s="85"/>
      <c r="N128" s="85"/>
      <c r="O128" s="108"/>
    </row>
    <row r="129" spans="1:15">
      <c r="A129" s="84"/>
      <c r="B129" s="85"/>
      <c r="C129" s="84"/>
      <c r="D129" s="86"/>
      <c r="E129" s="86"/>
      <c r="F129" s="86"/>
      <c r="G129" s="86"/>
      <c r="H129" s="85"/>
      <c r="I129" s="85"/>
      <c r="J129" s="85"/>
      <c r="K129" s="85"/>
      <c r="L129" s="85"/>
      <c r="M129" s="85"/>
      <c r="N129" s="85"/>
      <c r="O129" s="108"/>
    </row>
    <row r="130" spans="1:15">
      <c r="A130" s="84"/>
      <c r="B130" s="85"/>
      <c r="C130" s="84"/>
      <c r="D130" s="86"/>
      <c r="E130" s="86"/>
      <c r="F130" s="86"/>
      <c r="G130" s="86"/>
      <c r="H130" s="85"/>
      <c r="I130" s="85"/>
      <c r="J130" s="85"/>
      <c r="K130" s="85"/>
      <c r="L130" s="85"/>
      <c r="M130" s="85"/>
      <c r="N130" s="85"/>
      <c r="O130" s="108"/>
    </row>
    <row r="131" spans="1:15">
      <c r="A131" s="84"/>
      <c r="B131" s="85"/>
      <c r="C131" s="84"/>
      <c r="D131" s="86"/>
      <c r="E131" s="86"/>
      <c r="F131" s="86"/>
      <c r="G131" s="86"/>
      <c r="H131" s="85"/>
      <c r="I131" s="85"/>
      <c r="J131" s="85"/>
      <c r="K131" s="85"/>
      <c r="L131" s="85"/>
      <c r="M131" s="85"/>
      <c r="N131" s="85"/>
      <c r="O131" s="108"/>
    </row>
    <row r="132" spans="1:15">
      <c r="A132" s="84"/>
      <c r="B132" s="85"/>
      <c r="C132" s="84"/>
      <c r="D132" s="86"/>
      <c r="E132" s="86"/>
      <c r="F132" s="86"/>
      <c r="G132" s="86"/>
      <c r="H132" s="85"/>
      <c r="I132" s="85"/>
      <c r="J132" s="85"/>
      <c r="K132" s="85"/>
      <c r="L132" s="85"/>
      <c r="M132" s="85"/>
      <c r="N132" s="85"/>
      <c r="O132" s="108"/>
    </row>
    <row r="133" spans="1:15">
      <c r="A133" s="84"/>
      <c r="B133" s="85"/>
      <c r="C133" s="84"/>
      <c r="D133" s="86"/>
      <c r="E133" s="86"/>
      <c r="F133" s="86"/>
      <c r="G133" s="86"/>
      <c r="H133" s="85"/>
      <c r="I133" s="85"/>
      <c r="J133" s="85"/>
      <c r="K133" s="85"/>
      <c r="L133" s="85"/>
      <c r="M133" s="85"/>
      <c r="N133" s="85"/>
      <c r="O133" s="108"/>
    </row>
    <row r="134" spans="1:15">
      <c r="A134" s="84"/>
      <c r="B134" s="85"/>
      <c r="C134" s="84"/>
      <c r="D134" s="86"/>
      <c r="E134" s="86"/>
      <c r="F134" s="86"/>
      <c r="G134" s="86"/>
      <c r="H134" s="85"/>
      <c r="I134" s="85"/>
      <c r="J134" s="85"/>
      <c r="K134" s="85"/>
      <c r="L134" s="85"/>
      <c r="M134" s="85"/>
      <c r="N134" s="85"/>
      <c r="O134" s="108"/>
    </row>
    <row r="135" spans="1:15">
      <c r="A135" s="84"/>
      <c r="B135" s="85"/>
      <c r="C135" s="84"/>
      <c r="D135" s="86"/>
      <c r="E135" s="86"/>
      <c r="F135" s="86"/>
      <c r="G135" s="86"/>
      <c r="H135" s="85"/>
      <c r="I135" s="85"/>
      <c r="J135" s="85"/>
      <c r="K135" s="85"/>
      <c r="L135" s="85"/>
      <c r="M135" s="85"/>
      <c r="N135" s="85"/>
      <c r="O135" s="108"/>
    </row>
    <row r="136" spans="1:15">
      <c r="B136" s="85"/>
      <c r="C136" s="84"/>
      <c r="D136" s="86"/>
      <c r="E136" s="86"/>
      <c r="F136" s="86"/>
      <c r="G136" s="86"/>
      <c r="H136" s="85"/>
      <c r="I136" s="85"/>
      <c r="J136" s="85"/>
      <c r="K136" s="85"/>
      <c r="L136" s="85"/>
      <c r="M136" s="85"/>
      <c r="N136" s="85"/>
      <c r="O136" s="108"/>
    </row>
    <row r="137" spans="1:15">
      <c r="B137" s="85"/>
      <c r="C137" s="84"/>
      <c r="D137" s="86"/>
      <c r="E137" s="86"/>
      <c r="F137" s="86"/>
      <c r="G137" s="86"/>
      <c r="H137" s="85"/>
      <c r="I137" s="85"/>
      <c r="J137" s="85"/>
      <c r="K137" s="85"/>
      <c r="L137" s="85"/>
      <c r="M137" s="85"/>
      <c r="N137" s="85"/>
      <c r="O137" s="108"/>
    </row>
    <row r="138" spans="1:15">
      <c r="B138" s="85"/>
      <c r="C138" s="84"/>
      <c r="D138" s="86"/>
      <c r="E138" s="86"/>
      <c r="F138" s="86"/>
      <c r="G138" s="86"/>
      <c r="H138" s="85"/>
      <c r="I138" s="85"/>
      <c r="J138" s="85"/>
      <c r="K138" s="85"/>
      <c r="L138" s="85"/>
      <c r="M138" s="85"/>
      <c r="N138" s="85"/>
      <c r="O138" s="108"/>
    </row>
    <row r="139" spans="1:15">
      <c r="A139" s="84"/>
      <c r="B139" s="85"/>
      <c r="C139" s="84"/>
      <c r="D139" s="86"/>
      <c r="E139" s="86"/>
      <c r="F139" s="86"/>
      <c r="G139" s="86"/>
      <c r="H139" s="85"/>
      <c r="I139" s="85"/>
      <c r="J139" s="85"/>
      <c r="K139" s="85"/>
      <c r="L139" s="85"/>
      <c r="M139" s="85"/>
      <c r="N139" s="85"/>
      <c r="O139" s="108"/>
    </row>
    <row r="140" spans="1:15">
      <c r="A140" s="84"/>
      <c r="B140" s="85"/>
      <c r="C140" s="84"/>
      <c r="D140" s="86"/>
      <c r="E140" s="86"/>
      <c r="F140" s="86"/>
      <c r="G140" s="86"/>
      <c r="H140" s="85"/>
      <c r="I140" s="85"/>
      <c r="J140" s="85"/>
      <c r="K140" s="85"/>
      <c r="L140" s="85"/>
      <c r="M140" s="85"/>
      <c r="N140" s="85"/>
      <c r="O140" s="108"/>
    </row>
    <row r="141" spans="1:15">
      <c r="A141" s="84"/>
      <c r="B141" s="85"/>
      <c r="C141" s="84"/>
      <c r="D141" s="86"/>
      <c r="E141" s="86"/>
      <c r="F141" s="86"/>
      <c r="G141" s="86"/>
      <c r="H141" s="85"/>
      <c r="I141" s="85"/>
      <c r="J141" s="85"/>
      <c r="K141" s="85"/>
      <c r="L141" s="85"/>
      <c r="M141" s="85"/>
      <c r="N141" s="85"/>
      <c r="O141" s="108"/>
    </row>
  </sheetData>
  <sheetProtection formatColumns="0" formatRows="0" insertRows="0" deleteRows="0" selectLockedCells="1"/>
  <mergeCells count="31">
    <mergeCell ref="M4:N11"/>
    <mergeCell ref="B97:N97"/>
    <mergeCell ref="M15:N16"/>
    <mergeCell ref="B85:C85"/>
    <mergeCell ref="B87:C87"/>
    <mergeCell ref="B89:C89"/>
    <mergeCell ref="B91:C91"/>
    <mergeCell ref="M12:N13"/>
    <mergeCell ref="F13:H13"/>
    <mergeCell ref="F5:H5"/>
    <mergeCell ref="F6:H6"/>
    <mergeCell ref="F7:H7"/>
    <mergeCell ref="F8:H8"/>
    <mergeCell ref="B70:C70"/>
    <mergeCell ref="C15:F16"/>
    <mergeCell ref="A15:A17"/>
    <mergeCell ref="B15:B17"/>
    <mergeCell ref="F9:H9"/>
    <mergeCell ref="A10:A13"/>
    <mergeCell ref="B10:B13"/>
    <mergeCell ref="F10:H10"/>
    <mergeCell ref="F11:H11"/>
    <mergeCell ref="F12:H12"/>
    <mergeCell ref="A1:B9"/>
    <mergeCell ref="C1:L1"/>
    <mergeCell ref="F2:H2"/>
    <mergeCell ref="F3:H3"/>
    <mergeCell ref="F4:H4"/>
    <mergeCell ref="K16:L16"/>
    <mergeCell ref="G15:L15"/>
    <mergeCell ref="G16:I16"/>
  </mergeCells>
  <conditionalFormatting sqref="F11:H11">
    <cfRule type="expression" dxfId="348" priority="18">
      <formula>$F$11&gt;0</formula>
    </cfRule>
  </conditionalFormatting>
  <conditionalFormatting sqref="F12:H12">
    <cfRule type="expression" dxfId="347" priority="17">
      <formula>$F$12&gt;0</formula>
    </cfRule>
  </conditionalFormatting>
  <conditionalFormatting sqref="F13:H13">
    <cfRule type="expression" dxfId="346" priority="16">
      <formula>$F$13&gt;0</formula>
    </cfRule>
  </conditionalFormatting>
  <conditionalFormatting sqref="L3">
    <cfRule type="expression" dxfId="345" priority="15">
      <formula>$L$3&gt;0</formula>
    </cfRule>
  </conditionalFormatting>
  <conditionalFormatting sqref="L4">
    <cfRule type="expression" dxfId="344" priority="14">
      <formula>$L$4&gt;0</formula>
    </cfRule>
  </conditionalFormatting>
  <conditionalFormatting sqref="L5">
    <cfRule type="expression" dxfId="343" priority="13">
      <formula>$L$5&gt;0</formula>
    </cfRule>
  </conditionalFormatting>
  <conditionalFormatting sqref="L6">
    <cfRule type="expression" dxfId="342" priority="12">
      <formula>$L$6&gt;0</formula>
    </cfRule>
  </conditionalFormatting>
  <conditionalFormatting sqref="L7">
    <cfRule type="expression" dxfId="341" priority="11">
      <formula>$L$7&gt;0</formula>
    </cfRule>
  </conditionalFormatting>
  <conditionalFormatting sqref="L8">
    <cfRule type="expression" dxfId="340" priority="10">
      <formula>$L$8&gt;0</formula>
    </cfRule>
  </conditionalFormatting>
  <conditionalFormatting sqref="L9">
    <cfRule type="expression" dxfId="339" priority="9">
      <formula>$L$9&gt;0</formula>
    </cfRule>
  </conditionalFormatting>
  <conditionalFormatting sqref="L10">
    <cfRule type="expression" dxfId="338" priority="7">
      <formula>$L$10&gt;0</formula>
    </cfRule>
    <cfRule type="expression" dxfId="337" priority="8">
      <formula>$L$10&gt;0</formula>
    </cfRule>
  </conditionalFormatting>
  <conditionalFormatting sqref="L11">
    <cfRule type="expression" dxfId="336" priority="6">
      <formula>$L$11&gt;0</formula>
    </cfRule>
  </conditionalFormatting>
  <conditionalFormatting sqref="L12">
    <cfRule type="expression" dxfId="335" priority="5">
      <formula>$L$12&gt;0</formula>
    </cfRule>
  </conditionalFormatting>
  <conditionalFormatting sqref="F4:H4">
    <cfRule type="expression" dxfId="334" priority="4">
      <formula>$F$4=" "</formula>
    </cfRule>
  </conditionalFormatting>
  <conditionalFormatting sqref="F6:H6">
    <cfRule type="expression" dxfId="333" priority="3">
      <formula>$F$6=" "</formula>
    </cfRule>
  </conditionalFormatting>
  <conditionalFormatting sqref="K63">
    <cfRule type="expression" dxfId="332" priority="2">
      <formula>K63&gt;H63</formula>
    </cfRule>
  </conditionalFormatting>
  <conditionalFormatting sqref="K80">
    <cfRule type="expression" dxfId="331" priority="1">
      <formula>K80&gt;H80</formula>
    </cfRule>
  </conditionalFormatting>
  <printOptions horizontalCentered="1"/>
  <pageMargins left="0.43307086614173229" right="0.43307086614173229" top="0.59055118110236227" bottom="0.59055118110236227" header="0.31496062992125984" footer="0.31496062992125984"/>
  <pageSetup scale="64" orientation="landscape" r:id="rId1"/>
  <headerFooter>
    <oddFooter>&amp;C&amp;"-,Cursiva"&amp;10&amp;A&amp;R&amp;"-,Cursiva"&amp;10Página &amp;P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AT112"/>
  <sheetViews>
    <sheetView view="pageBreakPreview" zoomScale="90" zoomScaleNormal="85" zoomScaleSheetLayoutView="90" workbookViewId="0">
      <selection activeCell="AW63" sqref="AW63"/>
    </sheetView>
  </sheetViews>
  <sheetFormatPr baseColWidth="10" defaultColWidth="11.42578125" defaultRowHeight="12.75"/>
  <cols>
    <col min="1" max="38" width="2.5703125" style="190" customWidth="1"/>
    <col min="39" max="39" width="2.5703125" style="196" customWidth="1"/>
    <col min="40" max="40" width="22.7109375" style="190" customWidth="1"/>
    <col min="41" max="41" width="10.85546875" style="190" customWidth="1"/>
    <col min="42" max="42" width="9.85546875" style="190" customWidth="1"/>
    <col min="43" max="43" width="13.5703125" style="190" customWidth="1"/>
    <col min="44" max="44" width="10.42578125" style="190" customWidth="1"/>
    <col min="45" max="45" width="12.5703125" style="193" customWidth="1"/>
    <col min="46" max="261" width="11.42578125" style="190"/>
    <col min="262" max="264" width="3.7109375" style="190" customWidth="1"/>
    <col min="265" max="265" width="4.140625" style="190" customWidth="1"/>
    <col min="266" max="266" width="4" style="190" customWidth="1"/>
    <col min="267" max="282" width="3.7109375" style="190" customWidth="1"/>
    <col min="283" max="283" width="3" style="190" customWidth="1"/>
    <col min="284" max="295" width="3.7109375" style="190" customWidth="1"/>
    <col min="296" max="296" width="22.7109375" style="190" customWidth="1"/>
    <col min="297" max="297" width="11.28515625" style="190" customWidth="1"/>
    <col min="298" max="298" width="10.85546875" style="190" customWidth="1"/>
    <col min="299" max="299" width="17.42578125" style="190" customWidth="1"/>
    <col min="300" max="300" width="9.7109375" style="190" customWidth="1"/>
    <col min="301" max="301" width="12.5703125" style="190" customWidth="1"/>
    <col min="302" max="517" width="11.42578125" style="190"/>
    <col min="518" max="520" width="3.7109375" style="190" customWidth="1"/>
    <col min="521" max="521" width="4.140625" style="190" customWidth="1"/>
    <col min="522" max="522" width="4" style="190" customWidth="1"/>
    <col min="523" max="538" width="3.7109375" style="190" customWidth="1"/>
    <col min="539" max="539" width="3" style="190" customWidth="1"/>
    <col min="540" max="551" width="3.7109375" style="190" customWidth="1"/>
    <col min="552" max="552" width="22.7109375" style="190" customWidth="1"/>
    <col min="553" max="553" width="11.28515625" style="190" customWidth="1"/>
    <col min="554" max="554" width="10.85546875" style="190" customWidth="1"/>
    <col min="555" max="555" width="17.42578125" style="190" customWidth="1"/>
    <col min="556" max="556" width="9.7109375" style="190" customWidth="1"/>
    <col min="557" max="557" width="12.5703125" style="190" customWidth="1"/>
    <col min="558" max="773" width="11.42578125" style="190"/>
    <col min="774" max="776" width="3.7109375" style="190" customWidth="1"/>
    <col min="777" max="777" width="4.140625" style="190" customWidth="1"/>
    <col min="778" max="778" width="4" style="190" customWidth="1"/>
    <col min="779" max="794" width="3.7109375" style="190" customWidth="1"/>
    <col min="795" max="795" width="3" style="190" customWidth="1"/>
    <col min="796" max="807" width="3.7109375" style="190" customWidth="1"/>
    <col min="808" max="808" width="22.7109375" style="190" customWidth="1"/>
    <col min="809" max="809" width="11.28515625" style="190" customWidth="1"/>
    <col min="810" max="810" width="10.85546875" style="190" customWidth="1"/>
    <col min="811" max="811" width="17.42578125" style="190" customWidth="1"/>
    <col min="812" max="812" width="9.7109375" style="190" customWidth="1"/>
    <col min="813" max="813" width="12.5703125" style="190" customWidth="1"/>
    <col min="814" max="1029" width="11.42578125" style="190"/>
    <col min="1030" max="1032" width="3.7109375" style="190" customWidth="1"/>
    <col min="1033" max="1033" width="4.140625" style="190" customWidth="1"/>
    <col min="1034" max="1034" width="4" style="190" customWidth="1"/>
    <col min="1035" max="1050" width="3.7109375" style="190" customWidth="1"/>
    <col min="1051" max="1051" width="3" style="190" customWidth="1"/>
    <col min="1052" max="1063" width="3.7109375" style="190" customWidth="1"/>
    <col min="1064" max="1064" width="22.7109375" style="190" customWidth="1"/>
    <col min="1065" max="1065" width="11.28515625" style="190" customWidth="1"/>
    <col min="1066" max="1066" width="10.85546875" style="190" customWidth="1"/>
    <col min="1067" max="1067" width="17.42578125" style="190" customWidth="1"/>
    <col min="1068" max="1068" width="9.7109375" style="190" customWidth="1"/>
    <col min="1069" max="1069" width="12.5703125" style="190" customWidth="1"/>
    <col min="1070" max="1285" width="11.42578125" style="190"/>
    <col min="1286" max="1288" width="3.7109375" style="190" customWidth="1"/>
    <col min="1289" max="1289" width="4.140625" style="190" customWidth="1"/>
    <col min="1290" max="1290" width="4" style="190" customWidth="1"/>
    <col min="1291" max="1306" width="3.7109375" style="190" customWidth="1"/>
    <col min="1307" max="1307" width="3" style="190" customWidth="1"/>
    <col min="1308" max="1319" width="3.7109375" style="190" customWidth="1"/>
    <col min="1320" max="1320" width="22.7109375" style="190" customWidth="1"/>
    <col min="1321" max="1321" width="11.28515625" style="190" customWidth="1"/>
    <col min="1322" max="1322" width="10.85546875" style="190" customWidth="1"/>
    <col min="1323" max="1323" width="17.42578125" style="190" customWidth="1"/>
    <col min="1324" max="1324" width="9.7109375" style="190" customWidth="1"/>
    <col min="1325" max="1325" width="12.5703125" style="190" customWidth="1"/>
    <col min="1326" max="1541" width="11.42578125" style="190"/>
    <col min="1542" max="1544" width="3.7109375" style="190" customWidth="1"/>
    <col min="1545" max="1545" width="4.140625" style="190" customWidth="1"/>
    <col min="1546" max="1546" width="4" style="190" customWidth="1"/>
    <col min="1547" max="1562" width="3.7109375" style="190" customWidth="1"/>
    <col min="1563" max="1563" width="3" style="190" customWidth="1"/>
    <col min="1564" max="1575" width="3.7109375" style="190" customWidth="1"/>
    <col min="1576" max="1576" width="22.7109375" style="190" customWidth="1"/>
    <col min="1577" max="1577" width="11.28515625" style="190" customWidth="1"/>
    <col min="1578" max="1578" width="10.85546875" style="190" customWidth="1"/>
    <col min="1579" max="1579" width="17.42578125" style="190" customWidth="1"/>
    <col min="1580" max="1580" width="9.7109375" style="190" customWidth="1"/>
    <col min="1581" max="1581" width="12.5703125" style="190" customWidth="1"/>
    <col min="1582" max="1797" width="11.42578125" style="190"/>
    <col min="1798" max="1800" width="3.7109375" style="190" customWidth="1"/>
    <col min="1801" max="1801" width="4.140625" style="190" customWidth="1"/>
    <col min="1802" max="1802" width="4" style="190" customWidth="1"/>
    <col min="1803" max="1818" width="3.7109375" style="190" customWidth="1"/>
    <col min="1819" max="1819" width="3" style="190" customWidth="1"/>
    <col min="1820" max="1831" width="3.7109375" style="190" customWidth="1"/>
    <col min="1832" max="1832" width="22.7109375" style="190" customWidth="1"/>
    <col min="1833" max="1833" width="11.28515625" style="190" customWidth="1"/>
    <col min="1834" max="1834" width="10.85546875" style="190" customWidth="1"/>
    <col min="1835" max="1835" width="17.42578125" style="190" customWidth="1"/>
    <col min="1836" max="1836" width="9.7109375" style="190" customWidth="1"/>
    <col min="1837" max="1837" width="12.5703125" style="190" customWidth="1"/>
    <col min="1838" max="2053" width="11.42578125" style="190"/>
    <col min="2054" max="2056" width="3.7109375" style="190" customWidth="1"/>
    <col min="2057" max="2057" width="4.140625" style="190" customWidth="1"/>
    <col min="2058" max="2058" width="4" style="190" customWidth="1"/>
    <col min="2059" max="2074" width="3.7109375" style="190" customWidth="1"/>
    <col min="2075" max="2075" width="3" style="190" customWidth="1"/>
    <col min="2076" max="2087" width="3.7109375" style="190" customWidth="1"/>
    <col min="2088" max="2088" width="22.7109375" style="190" customWidth="1"/>
    <col min="2089" max="2089" width="11.28515625" style="190" customWidth="1"/>
    <col min="2090" max="2090" width="10.85546875" style="190" customWidth="1"/>
    <col min="2091" max="2091" width="17.42578125" style="190" customWidth="1"/>
    <col min="2092" max="2092" width="9.7109375" style="190" customWidth="1"/>
    <col min="2093" max="2093" width="12.5703125" style="190" customWidth="1"/>
    <col min="2094" max="2309" width="11.42578125" style="190"/>
    <col min="2310" max="2312" width="3.7109375" style="190" customWidth="1"/>
    <col min="2313" max="2313" width="4.140625" style="190" customWidth="1"/>
    <col min="2314" max="2314" width="4" style="190" customWidth="1"/>
    <col min="2315" max="2330" width="3.7109375" style="190" customWidth="1"/>
    <col min="2331" max="2331" width="3" style="190" customWidth="1"/>
    <col min="2332" max="2343" width="3.7109375" style="190" customWidth="1"/>
    <col min="2344" max="2344" width="22.7109375" style="190" customWidth="1"/>
    <col min="2345" max="2345" width="11.28515625" style="190" customWidth="1"/>
    <col min="2346" max="2346" width="10.85546875" style="190" customWidth="1"/>
    <col min="2347" max="2347" width="17.42578125" style="190" customWidth="1"/>
    <col min="2348" max="2348" width="9.7109375" style="190" customWidth="1"/>
    <col min="2349" max="2349" width="12.5703125" style="190" customWidth="1"/>
    <col min="2350" max="2565" width="11.42578125" style="190"/>
    <col min="2566" max="2568" width="3.7109375" style="190" customWidth="1"/>
    <col min="2569" max="2569" width="4.140625" style="190" customWidth="1"/>
    <col min="2570" max="2570" width="4" style="190" customWidth="1"/>
    <col min="2571" max="2586" width="3.7109375" style="190" customWidth="1"/>
    <col min="2587" max="2587" width="3" style="190" customWidth="1"/>
    <col min="2588" max="2599" width="3.7109375" style="190" customWidth="1"/>
    <col min="2600" max="2600" width="22.7109375" style="190" customWidth="1"/>
    <col min="2601" max="2601" width="11.28515625" style="190" customWidth="1"/>
    <col min="2602" max="2602" width="10.85546875" style="190" customWidth="1"/>
    <col min="2603" max="2603" width="17.42578125" style="190" customWidth="1"/>
    <col min="2604" max="2604" width="9.7109375" style="190" customWidth="1"/>
    <col min="2605" max="2605" width="12.5703125" style="190" customWidth="1"/>
    <col min="2606" max="2821" width="11.42578125" style="190"/>
    <col min="2822" max="2824" width="3.7109375" style="190" customWidth="1"/>
    <col min="2825" max="2825" width="4.140625" style="190" customWidth="1"/>
    <col min="2826" max="2826" width="4" style="190" customWidth="1"/>
    <col min="2827" max="2842" width="3.7109375" style="190" customWidth="1"/>
    <col min="2843" max="2843" width="3" style="190" customWidth="1"/>
    <col min="2844" max="2855" width="3.7109375" style="190" customWidth="1"/>
    <col min="2856" max="2856" width="22.7109375" style="190" customWidth="1"/>
    <col min="2857" max="2857" width="11.28515625" style="190" customWidth="1"/>
    <col min="2858" max="2858" width="10.85546875" style="190" customWidth="1"/>
    <col min="2859" max="2859" width="17.42578125" style="190" customWidth="1"/>
    <col min="2860" max="2860" width="9.7109375" style="190" customWidth="1"/>
    <col min="2861" max="2861" width="12.5703125" style="190" customWidth="1"/>
    <col min="2862" max="3077" width="11.42578125" style="190"/>
    <col min="3078" max="3080" width="3.7109375" style="190" customWidth="1"/>
    <col min="3081" max="3081" width="4.140625" style="190" customWidth="1"/>
    <col min="3082" max="3082" width="4" style="190" customWidth="1"/>
    <col min="3083" max="3098" width="3.7109375" style="190" customWidth="1"/>
    <col min="3099" max="3099" width="3" style="190" customWidth="1"/>
    <col min="3100" max="3111" width="3.7109375" style="190" customWidth="1"/>
    <col min="3112" max="3112" width="22.7109375" style="190" customWidth="1"/>
    <col min="3113" max="3113" width="11.28515625" style="190" customWidth="1"/>
    <col min="3114" max="3114" width="10.85546875" style="190" customWidth="1"/>
    <col min="3115" max="3115" width="17.42578125" style="190" customWidth="1"/>
    <col min="3116" max="3116" width="9.7109375" style="190" customWidth="1"/>
    <col min="3117" max="3117" width="12.5703125" style="190" customWidth="1"/>
    <col min="3118" max="3333" width="11.42578125" style="190"/>
    <col min="3334" max="3336" width="3.7109375" style="190" customWidth="1"/>
    <col min="3337" max="3337" width="4.140625" style="190" customWidth="1"/>
    <col min="3338" max="3338" width="4" style="190" customWidth="1"/>
    <col min="3339" max="3354" width="3.7109375" style="190" customWidth="1"/>
    <col min="3355" max="3355" width="3" style="190" customWidth="1"/>
    <col min="3356" max="3367" width="3.7109375" style="190" customWidth="1"/>
    <col min="3368" max="3368" width="22.7109375" style="190" customWidth="1"/>
    <col min="3369" max="3369" width="11.28515625" style="190" customWidth="1"/>
    <col min="3370" max="3370" width="10.85546875" style="190" customWidth="1"/>
    <col min="3371" max="3371" width="17.42578125" style="190" customWidth="1"/>
    <col min="3372" max="3372" width="9.7109375" style="190" customWidth="1"/>
    <col min="3373" max="3373" width="12.5703125" style="190" customWidth="1"/>
    <col min="3374" max="3589" width="11.42578125" style="190"/>
    <col min="3590" max="3592" width="3.7109375" style="190" customWidth="1"/>
    <col min="3593" max="3593" width="4.140625" style="190" customWidth="1"/>
    <col min="3594" max="3594" width="4" style="190" customWidth="1"/>
    <col min="3595" max="3610" width="3.7109375" style="190" customWidth="1"/>
    <col min="3611" max="3611" width="3" style="190" customWidth="1"/>
    <col min="3612" max="3623" width="3.7109375" style="190" customWidth="1"/>
    <col min="3624" max="3624" width="22.7109375" style="190" customWidth="1"/>
    <col min="3625" max="3625" width="11.28515625" style="190" customWidth="1"/>
    <col min="3626" max="3626" width="10.85546875" style="190" customWidth="1"/>
    <col min="3627" max="3627" width="17.42578125" style="190" customWidth="1"/>
    <col min="3628" max="3628" width="9.7109375" style="190" customWidth="1"/>
    <col min="3629" max="3629" width="12.5703125" style="190" customWidth="1"/>
    <col min="3630" max="3845" width="11.42578125" style="190"/>
    <col min="3846" max="3848" width="3.7109375" style="190" customWidth="1"/>
    <col min="3849" max="3849" width="4.140625" style="190" customWidth="1"/>
    <col min="3850" max="3850" width="4" style="190" customWidth="1"/>
    <col min="3851" max="3866" width="3.7109375" style="190" customWidth="1"/>
    <col min="3867" max="3867" width="3" style="190" customWidth="1"/>
    <col min="3868" max="3879" width="3.7109375" style="190" customWidth="1"/>
    <col min="3880" max="3880" width="22.7109375" style="190" customWidth="1"/>
    <col min="3881" max="3881" width="11.28515625" style="190" customWidth="1"/>
    <col min="3882" max="3882" width="10.85546875" style="190" customWidth="1"/>
    <col min="3883" max="3883" width="17.42578125" style="190" customWidth="1"/>
    <col min="3884" max="3884" width="9.7109375" style="190" customWidth="1"/>
    <col min="3885" max="3885" width="12.5703125" style="190" customWidth="1"/>
    <col min="3886" max="4101" width="11.42578125" style="190"/>
    <col min="4102" max="4104" width="3.7109375" style="190" customWidth="1"/>
    <col min="4105" max="4105" width="4.140625" style="190" customWidth="1"/>
    <col min="4106" max="4106" width="4" style="190" customWidth="1"/>
    <col min="4107" max="4122" width="3.7109375" style="190" customWidth="1"/>
    <col min="4123" max="4123" width="3" style="190" customWidth="1"/>
    <col min="4124" max="4135" width="3.7109375" style="190" customWidth="1"/>
    <col min="4136" max="4136" width="22.7109375" style="190" customWidth="1"/>
    <col min="4137" max="4137" width="11.28515625" style="190" customWidth="1"/>
    <col min="4138" max="4138" width="10.85546875" style="190" customWidth="1"/>
    <col min="4139" max="4139" width="17.42578125" style="190" customWidth="1"/>
    <col min="4140" max="4140" width="9.7109375" style="190" customWidth="1"/>
    <col min="4141" max="4141" width="12.5703125" style="190" customWidth="1"/>
    <col min="4142" max="4357" width="11.42578125" style="190"/>
    <col min="4358" max="4360" width="3.7109375" style="190" customWidth="1"/>
    <col min="4361" max="4361" width="4.140625" style="190" customWidth="1"/>
    <col min="4362" max="4362" width="4" style="190" customWidth="1"/>
    <col min="4363" max="4378" width="3.7109375" style="190" customWidth="1"/>
    <col min="4379" max="4379" width="3" style="190" customWidth="1"/>
    <col min="4380" max="4391" width="3.7109375" style="190" customWidth="1"/>
    <col min="4392" max="4392" width="22.7109375" style="190" customWidth="1"/>
    <col min="4393" max="4393" width="11.28515625" style="190" customWidth="1"/>
    <col min="4394" max="4394" width="10.85546875" style="190" customWidth="1"/>
    <col min="4395" max="4395" width="17.42578125" style="190" customWidth="1"/>
    <col min="4396" max="4396" width="9.7109375" style="190" customWidth="1"/>
    <col min="4397" max="4397" width="12.5703125" style="190" customWidth="1"/>
    <col min="4398" max="4613" width="11.42578125" style="190"/>
    <col min="4614" max="4616" width="3.7109375" style="190" customWidth="1"/>
    <col min="4617" max="4617" width="4.140625" style="190" customWidth="1"/>
    <col min="4618" max="4618" width="4" style="190" customWidth="1"/>
    <col min="4619" max="4634" width="3.7109375" style="190" customWidth="1"/>
    <col min="4635" max="4635" width="3" style="190" customWidth="1"/>
    <col min="4636" max="4647" width="3.7109375" style="190" customWidth="1"/>
    <col min="4648" max="4648" width="22.7109375" style="190" customWidth="1"/>
    <col min="4649" max="4649" width="11.28515625" style="190" customWidth="1"/>
    <col min="4650" max="4650" width="10.85546875" style="190" customWidth="1"/>
    <col min="4651" max="4651" width="17.42578125" style="190" customWidth="1"/>
    <col min="4652" max="4652" width="9.7109375" style="190" customWidth="1"/>
    <col min="4653" max="4653" width="12.5703125" style="190" customWidth="1"/>
    <col min="4654" max="4869" width="11.42578125" style="190"/>
    <col min="4870" max="4872" width="3.7109375" style="190" customWidth="1"/>
    <col min="4873" max="4873" width="4.140625" style="190" customWidth="1"/>
    <col min="4874" max="4874" width="4" style="190" customWidth="1"/>
    <col min="4875" max="4890" width="3.7109375" style="190" customWidth="1"/>
    <col min="4891" max="4891" width="3" style="190" customWidth="1"/>
    <col min="4892" max="4903" width="3.7109375" style="190" customWidth="1"/>
    <col min="4904" max="4904" width="22.7109375" style="190" customWidth="1"/>
    <col min="4905" max="4905" width="11.28515625" style="190" customWidth="1"/>
    <col min="4906" max="4906" width="10.85546875" style="190" customWidth="1"/>
    <col min="4907" max="4907" width="17.42578125" style="190" customWidth="1"/>
    <col min="4908" max="4908" width="9.7109375" style="190" customWidth="1"/>
    <col min="4909" max="4909" width="12.5703125" style="190" customWidth="1"/>
    <col min="4910" max="5125" width="11.42578125" style="190"/>
    <col min="5126" max="5128" width="3.7109375" style="190" customWidth="1"/>
    <col min="5129" max="5129" width="4.140625" style="190" customWidth="1"/>
    <col min="5130" max="5130" width="4" style="190" customWidth="1"/>
    <col min="5131" max="5146" width="3.7109375" style="190" customWidth="1"/>
    <col min="5147" max="5147" width="3" style="190" customWidth="1"/>
    <col min="5148" max="5159" width="3.7109375" style="190" customWidth="1"/>
    <col min="5160" max="5160" width="22.7109375" style="190" customWidth="1"/>
    <col min="5161" max="5161" width="11.28515625" style="190" customWidth="1"/>
    <col min="5162" max="5162" width="10.85546875" style="190" customWidth="1"/>
    <col min="5163" max="5163" width="17.42578125" style="190" customWidth="1"/>
    <col min="5164" max="5164" width="9.7109375" style="190" customWidth="1"/>
    <col min="5165" max="5165" width="12.5703125" style="190" customWidth="1"/>
    <col min="5166" max="5381" width="11.42578125" style="190"/>
    <col min="5382" max="5384" width="3.7109375" style="190" customWidth="1"/>
    <col min="5385" max="5385" width="4.140625" style="190" customWidth="1"/>
    <col min="5386" max="5386" width="4" style="190" customWidth="1"/>
    <col min="5387" max="5402" width="3.7109375" style="190" customWidth="1"/>
    <col min="5403" max="5403" width="3" style="190" customWidth="1"/>
    <col min="5404" max="5415" width="3.7109375" style="190" customWidth="1"/>
    <col min="5416" max="5416" width="22.7109375" style="190" customWidth="1"/>
    <col min="5417" max="5417" width="11.28515625" style="190" customWidth="1"/>
    <col min="5418" max="5418" width="10.85546875" style="190" customWidth="1"/>
    <col min="5419" max="5419" width="17.42578125" style="190" customWidth="1"/>
    <col min="5420" max="5420" width="9.7109375" style="190" customWidth="1"/>
    <col min="5421" max="5421" width="12.5703125" style="190" customWidth="1"/>
    <col min="5422" max="5637" width="11.42578125" style="190"/>
    <col min="5638" max="5640" width="3.7109375" style="190" customWidth="1"/>
    <col min="5641" max="5641" width="4.140625" style="190" customWidth="1"/>
    <col min="5642" max="5642" width="4" style="190" customWidth="1"/>
    <col min="5643" max="5658" width="3.7109375" style="190" customWidth="1"/>
    <col min="5659" max="5659" width="3" style="190" customWidth="1"/>
    <col min="5660" max="5671" width="3.7109375" style="190" customWidth="1"/>
    <col min="5672" max="5672" width="22.7109375" style="190" customWidth="1"/>
    <col min="5673" max="5673" width="11.28515625" style="190" customWidth="1"/>
    <col min="5674" max="5674" width="10.85546875" style="190" customWidth="1"/>
    <col min="5675" max="5675" width="17.42578125" style="190" customWidth="1"/>
    <col min="5676" max="5676" width="9.7109375" style="190" customWidth="1"/>
    <col min="5677" max="5677" width="12.5703125" style="190" customWidth="1"/>
    <col min="5678" max="5893" width="11.42578125" style="190"/>
    <col min="5894" max="5896" width="3.7109375" style="190" customWidth="1"/>
    <col min="5897" max="5897" width="4.140625" style="190" customWidth="1"/>
    <col min="5898" max="5898" width="4" style="190" customWidth="1"/>
    <col min="5899" max="5914" width="3.7109375" style="190" customWidth="1"/>
    <col min="5915" max="5915" width="3" style="190" customWidth="1"/>
    <col min="5916" max="5927" width="3.7109375" style="190" customWidth="1"/>
    <col min="5928" max="5928" width="22.7109375" style="190" customWidth="1"/>
    <col min="5929" max="5929" width="11.28515625" style="190" customWidth="1"/>
    <col min="5930" max="5930" width="10.85546875" style="190" customWidth="1"/>
    <col min="5931" max="5931" width="17.42578125" style="190" customWidth="1"/>
    <col min="5932" max="5932" width="9.7109375" style="190" customWidth="1"/>
    <col min="5933" max="5933" width="12.5703125" style="190" customWidth="1"/>
    <col min="5934" max="6149" width="11.42578125" style="190"/>
    <col min="6150" max="6152" width="3.7109375" style="190" customWidth="1"/>
    <col min="6153" max="6153" width="4.140625" style="190" customWidth="1"/>
    <col min="6154" max="6154" width="4" style="190" customWidth="1"/>
    <col min="6155" max="6170" width="3.7109375" style="190" customWidth="1"/>
    <col min="6171" max="6171" width="3" style="190" customWidth="1"/>
    <col min="6172" max="6183" width="3.7109375" style="190" customWidth="1"/>
    <col min="6184" max="6184" width="22.7109375" style="190" customWidth="1"/>
    <col min="6185" max="6185" width="11.28515625" style="190" customWidth="1"/>
    <col min="6186" max="6186" width="10.85546875" style="190" customWidth="1"/>
    <col min="6187" max="6187" width="17.42578125" style="190" customWidth="1"/>
    <col min="6188" max="6188" width="9.7109375" style="190" customWidth="1"/>
    <col min="6189" max="6189" width="12.5703125" style="190" customWidth="1"/>
    <col min="6190" max="6405" width="11.42578125" style="190"/>
    <col min="6406" max="6408" width="3.7109375" style="190" customWidth="1"/>
    <col min="6409" max="6409" width="4.140625" style="190" customWidth="1"/>
    <col min="6410" max="6410" width="4" style="190" customWidth="1"/>
    <col min="6411" max="6426" width="3.7109375" style="190" customWidth="1"/>
    <col min="6427" max="6427" width="3" style="190" customWidth="1"/>
    <col min="6428" max="6439" width="3.7109375" style="190" customWidth="1"/>
    <col min="6440" max="6440" width="22.7109375" style="190" customWidth="1"/>
    <col min="6441" max="6441" width="11.28515625" style="190" customWidth="1"/>
    <col min="6442" max="6442" width="10.85546875" style="190" customWidth="1"/>
    <col min="6443" max="6443" width="17.42578125" style="190" customWidth="1"/>
    <col min="6444" max="6444" width="9.7109375" style="190" customWidth="1"/>
    <col min="6445" max="6445" width="12.5703125" style="190" customWidth="1"/>
    <col min="6446" max="6661" width="11.42578125" style="190"/>
    <col min="6662" max="6664" width="3.7109375" style="190" customWidth="1"/>
    <col min="6665" max="6665" width="4.140625" style="190" customWidth="1"/>
    <col min="6666" max="6666" width="4" style="190" customWidth="1"/>
    <col min="6667" max="6682" width="3.7109375" style="190" customWidth="1"/>
    <col min="6683" max="6683" width="3" style="190" customWidth="1"/>
    <col min="6684" max="6695" width="3.7109375" style="190" customWidth="1"/>
    <col min="6696" max="6696" width="22.7109375" style="190" customWidth="1"/>
    <col min="6697" max="6697" width="11.28515625" style="190" customWidth="1"/>
    <col min="6698" max="6698" width="10.85546875" style="190" customWidth="1"/>
    <col min="6699" max="6699" width="17.42578125" style="190" customWidth="1"/>
    <col min="6700" max="6700" width="9.7109375" style="190" customWidth="1"/>
    <col min="6701" max="6701" width="12.5703125" style="190" customWidth="1"/>
    <col min="6702" max="6917" width="11.42578125" style="190"/>
    <col min="6918" max="6920" width="3.7109375" style="190" customWidth="1"/>
    <col min="6921" max="6921" width="4.140625" style="190" customWidth="1"/>
    <col min="6922" max="6922" width="4" style="190" customWidth="1"/>
    <col min="6923" max="6938" width="3.7109375" style="190" customWidth="1"/>
    <col min="6939" max="6939" width="3" style="190" customWidth="1"/>
    <col min="6940" max="6951" width="3.7109375" style="190" customWidth="1"/>
    <col min="6952" max="6952" width="22.7109375" style="190" customWidth="1"/>
    <col min="6953" max="6953" width="11.28515625" style="190" customWidth="1"/>
    <col min="6954" max="6954" width="10.85546875" style="190" customWidth="1"/>
    <col min="6955" max="6955" width="17.42578125" style="190" customWidth="1"/>
    <col min="6956" max="6956" width="9.7109375" style="190" customWidth="1"/>
    <col min="6957" max="6957" width="12.5703125" style="190" customWidth="1"/>
    <col min="6958" max="7173" width="11.42578125" style="190"/>
    <col min="7174" max="7176" width="3.7109375" style="190" customWidth="1"/>
    <col min="7177" max="7177" width="4.140625" style="190" customWidth="1"/>
    <col min="7178" max="7178" width="4" style="190" customWidth="1"/>
    <col min="7179" max="7194" width="3.7109375" style="190" customWidth="1"/>
    <col min="7195" max="7195" width="3" style="190" customWidth="1"/>
    <col min="7196" max="7207" width="3.7109375" style="190" customWidth="1"/>
    <col min="7208" max="7208" width="22.7109375" style="190" customWidth="1"/>
    <col min="7209" max="7209" width="11.28515625" style="190" customWidth="1"/>
    <col min="7210" max="7210" width="10.85546875" style="190" customWidth="1"/>
    <col min="7211" max="7211" width="17.42578125" style="190" customWidth="1"/>
    <col min="7212" max="7212" width="9.7109375" style="190" customWidth="1"/>
    <col min="7213" max="7213" width="12.5703125" style="190" customWidth="1"/>
    <col min="7214" max="7429" width="11.42578125" style="190"/>
    <col min="7430" max="7432" width="3.7109375" style="190" customWidth="1"/>
    <col min="7433" max="7433" width="4.140625" style="190" customWidth="1"/>
    <col min="7434" max="7434" width="4" style="190" customWidth="1"/>
    <col min="7435" max="7450" width="3.7109375" style="190" customWidth="1"/>
    <col min="7451" max="7451" width="3" style="190" customWidth="1"/>
    <col min="7452" max="7463" width="3.7109375" style="190" customWidth="1"/>
    <col min="7464" max="7464" width="22.7109375" style="190" customWidth="1"/>
    <col min="7465" max="7465" width="11.28515625" style="190" customWidth="1"/>
    <col min="7466" max="7466" width="10.85546875" style="190" customWidth="1"/>
    <col min="7467" max="7467" width="17.42578125" style="190" customWidth="1"/>
    <col min="7468" max="7468" width="9.7109375" style="190" customWidth="1"/>
    <col min="7469" max="7469" width="12.5703125" style="190" customWidth="1"/>
    <col min="7470" max="7685" width="11.42578125" style="190"/>
    <col min="7686" max="7688" width="3.7109375" style="190" customWidth="1"/>
    <col min="7689" max="7689" width="4.140625" style="190" customWidth="1"/>
    <col min="7690" max="7690" width="4" style="190" customWidth="1"/>
    <col min="7691" max="7706" width="3.7109375" style="190" customWidth="1"/>
    <col min="7707" max="7707" width="3" style="190" customWidth="1"/>
    <col min="7708" max="7719" width="3.7109375" style="190" customWidth="1"/>
    <col min="7720" max="7720" width="22.7109375" style="190" customWidth="1"/>
    <col min="7721" max="7721" width="11.28515625" style="190" customWidth="1"/>
    <col min="7722" max="7722" width="10.85546875" style="190" customWidth="1"/>
    <col min="7723" max="7723" width="17.42578125" style="190" customWidth="1"/>
    <col min="7724" max="7724" width="9.7109375" style="190" customWidth="1"/>
    <col min="7725" max="7725" width="12.5703125" style="190" customWidth="1"/>
    <col min="7726" max="7941" width="11.42578125" style="190"/>
    <col min="7942" max="7944" width="3.7109375" style="190" customWidth="1"/>
    <col min="7945" max="7945" width="4.140625" style="190" customWidth="1"/>
    <col min="7946" max="7946" width="4" style="190" customWidth="1"/>
    <col min="7947" max="7962" width="3.7109375" style="190" customWidth="1"/>
    <col min="7963" max="7963" width="3" style="190" customWidth="1"/>
    <col min="7964" max="7975" width="3.7109375" style="190" customWidth="1"/>
    <col min="7976" max="7976" width="22.7109375" style="190" customWidth="1"/>
    <col min="7977" max="7977" width="11.28515625" style="190" customWidth="1"/>
    <col min="7978" max="7978" width="10.85546875" style="190" customWidth="1"/>
    <col min="7979" max="7979" width="17.42578125" style="190" customWidth="1"/>
    <col min="7980" max="7980" width="9.7109375" style="190" customWidth="1"/>
    <col min="7981" max="7981" width="12.5703125" style="190" customWidth="1"/>
    <col min="7982" max="8197" width="11.42578125" style="190"/>
    <col min="8198" max="8200" width="3.7109375" style="190" customWidth="1"/>
    <col min="8201" max="8201" width="4.140625" style="190" customWidth="1"/>
    <col min="8202" max="8202" width="4" style="190" customWidth="1"/>
    <col min="8203" max="8218" width="3.7109375" style="190" customWidth="1"/>
    <col min="8219" max="8219" width="3" style="190" customWidth="1"/>
    <col min="8220" max="8231" width="3.7109375" style="190" customWidth="1"/>
    <col min="8232" max="8232" width="22.7109375" style="190" customWidth="1"/>
    <col min="8233" max="8233" width="11.28515625" style="190" customWidth="1"/>
    <col min="8234" max="8234" width="10.85546875" style="190" customWidth="1"/>
    <col min="8235" max="8235" width="17.42578125" style="190" customWidth="1"/>
    <col min="8236" max="8236" width="9.7109375" style="190" customWidth="1"/>
    <col min="8237" max="8237" width="12.5703125" style="190" customWidth="1"/>
    <col min="8238" max="8453" width="11.42578125" style="190"/>
    <col min="8454" max="8456" width="3.7109375" style="190" customWidth="1"/>
    <col min="8457" max="8457" width="4.140625" style="190" customWidth="1"/>
    <col min="8458" max="8458" width="4" style="190" customWidth="1"/>
    <col min="8459" max="8474" width="3.7109375" style="190" customWidth="1"/>
    <col min="8475" max="8475" width="3" style="190" customWidth="1"/>
    <col min="8476" max="8487" width="3.7109375" style="190" customWidth="1"/>
    <col min="8488" max="8488" width="22.7109375" style="190" customWidth="1"/>
    <col min="8489" max="8489" width="11.28515625" style="190" customWidth="1"/>
    <col min="8490" max="8490" width="10.85546875" style="190" customWidth="1"/>
    <col min="8491" max="8491" width="17.42578125" style="190" customWidth="1"/>
    <col min="8492" max="8492" width="9.7109375" style="190" customWidth="1"/>
    <col min="8493" max="8493" width="12.5703125" style="190" customWidth="1"/>
    <col min="8494" max="8709" width="11.42578125" style="190"/>
    <col min="8710" max="8712" width="3.7109375" style="190" customWidth="1"/>
    <col min="8713" max="8713" width="4.140625" style="190" customWidth="1"/>
    <col min="8714" max="8714" width="4" style="190" customWidth="1"/>
    <col min="8715" max="8730" width="3.7109375" style="190" customWidth="1"/>
    <col min="8731" max="8731" width="3" style="190" customWidth="1"/>
    <col min="8732" max="8743" width="3.7109375" style="190" customWidth="1"/>
    <col min="8744" max="8744" width="22.7109375" style="190" customWidth="1"/>
    <col min="8745" max="8745" width="11.28515625" style="190" customWidth="1"/>
    <col min="8746" max="8746" width="10.85546875" style="190" customWidth="1"/>
    <col min="8747" max="8747" width="17.42578125" style="190" customWidth="1"/>
    <col min="8748" max="8748" width="9.7109375" style="190" customWidth="1"/>
    <col min="8749" max="8749" width="12.5703125" style="190" customWidth="1"/>
    <col min="8750" max="8965" width="11.42578125" style="190"/>
    <col min="8966" max="8968" width="3.7109375" style="190" customWidth="1"/>
    <col min="8969" max="8969" width="4.140625" style="190" customWidth="1"/>
    <col min="8970" max="8970" width="4" style="190" customWidth="1"/>
    <col min="8971" max="8986" width="3.7109375" style="190" customWidth="1"/>
    <col min="8987" max="8987" width="3" style="190" customWidth="1"/>
    <col min="8988" max="8999" width="3.7109375" style="190" customWidth="1"/>
    <col min="9000" max="9000" width="22.7109375" style="190" customWidth="1"/>
    <col min="9001" max="9001" width="11.28515625" style="190" customWidth="1"/>
    <col min="9002" max="9002" width="10.85546875" style="190" customWidth="1"/>
    <col min="9003" max="9003" width="17.42578125" style="190" customWidth="1"/>
    <col min="9004" max="9004" width="9.7109375" style="190" customWidth="1"/>
    <col min="9005" max="9005" width="12.5703125" style="190" customWidth="1"/>
    <col min="9006" max="9221" width="11.42578125" style="190"/>
    <col min="9222" max="9224" width="3.7109375" style="190" customWidth="1"/>
    <col min="9225" max="9225" width="4.140625" style="190" customWidth="1"/>
    <col min="9226" max="9226" width="4" style="190" customWidth="1"/>
    <col min="9227" max="9242" width="3.7109375" style="190" customWidth="1"/>
    <col min="9243" max="9243" width="3" style="190" customWidth="1"/>
    <col min="9244" max="9255" width="3.7109375" style="190" customWidth="1"/>
    <col min="9256" max="9256" width="22.7109375" style="190" customWidth="1"/>
    <col min="9257" max="9257" width="11.28515625" style="190" customWidth="1"/>
    <col min="9258" max="9258" width="10.85546875" style="190" customWidth="1"/>
    <col min="9259" max="9259" width="17.42578125" style="190" customWidth="1"/>
    <col min="9260" max="9260" width="9.7109375" style="190" customWidth="1"/>
    <col min="9261" max="9261" width="12.5703125" style="190" customWidth="1"/>
    <col min="9262" max="9477" width="11.42578125" style="190"/>
    <col min="9478" max="9480" width="3.7109375" style="190" customWidth="1"/>
    <col min="9481" max="9481" width="4.140625" style="190" customWidth="1"/>
    <col min="9482" max="9482" width="4" style="190" customWidth="1"/>
    <col min="9483" max="9498" width="3.7109375" style="190" customWidth="1"/>
    <col min="9499" max="9499" width="3" style="190" customWidth="1"/>
    <col min="9500" max="9511" width="3.7109375" style="190" customWidth="1"/>
    <col min="9512" max="9512" width="22.7109375" style="190" customWidth="1"/>
    <col min="9513" max="9513" width="11.28515625" style="190" customWidth="1"/>
    <col min="9514" max="9514" width="10.85546875" style="190" customWidth="1"/>
    <col min="9515" max="9515" width="17.42578125" style="190" customWidth="1"/>
    <col min="9516" max="9516" width="9.7109375" style="190" customWidth="1"/>
    <col min="9517" max="9517" width="12.5703125" style="190" customWidth="1"/>
    <col min="9518" max="9733" width="11.42578125" style="190"/>
    <col min="9734" max="9736" width="3.7109375" style="190" customWidth="1"/>
    <col min="9737" max="9737" width="4.140625" style="190" customWidth="1"/>
    <col min="9738" max="9738" width="4" style="190" customWidth="1"/>
    <col min="9739" max="9754" width="3.7109375" style="190" customWidth="1"/>
    <col min="9755" max="9755" width="3" style="190" customWidth="1"/>
    <col min="9756" max="9767" width="3.7109375" style="190" customWidth="1"/>
    <col min="9768" max="9768" width="22.7109375" style="190" customWidth="1"/>
    <col min="9769" max="9769" width="11.28515625" style="190" customWidth="1"/>
    <col min="9770" max="9770" width="10.85546875" style="190" customWidth="1"/>
    <col min="9771" max="9771" width="17.42578125" style="190" customWidth="1"/>
    <col min="9772" max="9772" width="9.7109375" style="190" customWidth="1"/>
    <col min="9773" max="9773" width="12.5703125" style="190" customWidth="1"/>
    <col min="9774" max="9989" width="11.42578125" style="190"/>
    <col min="9990" max="9992" width="3.7109375" style="190" customWidth="1"/>
    <col min="9993" max="9993" width="4.140625" style="190" customWidth="1"/>
    <col min="9994" max="9994" width="4" style="190" customWidth="1"/>
    <col min="9995" max="10010" width="3.7109375" style="190" customWidth="1"/>
    <col min="10011" max="10011" width="3" style="190" customWidth="1"/>
    <col min="10012" max="10023" width="3.7109375" style="190" customWidth="1"/>
    <col min="10024" max="10024" width="22.7109375" style="190" customWidth="1"/>
    <col min="10025" max="10025" width="11.28515625" style="190" customWidth="1"/>
    <col min="10026" max="10026" width="10.85546875" style="190" customWidth="1"/>
    <col min="10027" max="10027" width="17.42578125" style="190" customWidth="1"/>
    <col min="10028" max="10028" width="9.7109375" style="190" customWidth="1"/>
    <col min="10029" max="10029" width="12.5703125" style="190" customWidth="1"/>
    <col min="10030" max="10245" width="11.42578125" style="190"/>
    <col min="10246" max="10248" width="3.7109375" style="190" customWidth="1"/>
    <col min="10249" max="10249" width="4.140625" style="190" customWidth="1"/>
    <col min="10250" max="10250" width="4" style="190" customWidth="1"/>
    <col min="10251" max="10266" width="3.7109375" style="190" customWidth="1"/>
    <col min="10267" max="10267" width="3" style="190" customWidth="1"/>
    <col min="10268" max="10279" width="3.7109375" style="190" customWidth="1"/>
    <col min="10280" max="10280" width="22.7109375" style="190" customWidth="1"/>
    <col min="10281" max="10281" width="11.28515625" style="190" customWidth="1"/>
    <col min="10282" max="10282" width="10.85546875" style="190" customWidth="1"/>
    <col min="10283" max="10283" width="17.42578125" style="190" customWidth="1"/>
    <col min="10284" max="10284" width="9.7109375" style="190" customWidth="1"/>
    <col min="10285" max="10285" width="12.5703125" style="190" customWidth="1"/>
    <col min="10286" max="10501" width="11.42578125" style="190"/>
    <col min="10502" max="10504" width="3.7109375" style="190" customWidth="1"/>
    <col min="10505" max="10505" width="4.140625" style="190" customWidth="1"/>
    <col min="10506" max="10506" width="4" style="190" customWidth="1"/>
    <col min="10507" max="10522" width="3.7109375" style="190" customWidth="1"/>
    <col min="10523" max="10523" width="3" style="190" customWidth="1"/>
    <col min="10524" max="10535" width="3.7109375" style="190" customWidth="1"/>
    <col min="10536" max="10536" width="22.7109375" style="190" customWidth="1"/>
    <col min="10537" max="10537" width="11.28515625" style="190" customWidth="1"/>
    <col min="10538" max="10538" width="10.85546875" style="190" customWidth="1"/>
    <col min="10539" max="10539" width="17.42578125" style="190" customWidth="1"/>
    <col min="10540" max="10540" width="9.7109375" style="190" customWidth="1"/>
    <col min="10541" max="10541" width="12.5703125" style="190" customWidth="1"/>
    <col min="10542" max="10757" width="11.42578125" style="190"/>
    <col min="10758" max="10760" width="3.7109375" style="190" customWidth="1"/>
    <col min="10761" max="10761" width="4.140625" style="190" customWidth="1"/>
    <col min="10762" max="10762" width="4" style="190" customWidth="1"/>
    <col min="10763" max="10778" width="3.7109375" style="190" customWidth="1"/>
    <col min="10779" max="10779" width="3" style="190" customWidth="1"/>
    <col min="10780" max="10791" width="3.7109375" style="190" customWidth="1"/>
    <col min="10792" max="10792" width="22.7109375" style="190" customWidth="1"/>
    <col min="10793" max="10793" width="11.28515625" style="190" customWidth="1"/>
    <col min="10794" max="10794" width="10.85546875" style="190" customWidth="1"/>
    <col min="10795" max="10795" width="17.42578125" style="190" customWidth="1"/>
    <col min="10796" max="10796" width="9.7109375" style="190" customWidth="1"/>
    <col min="10797" max="10797" width="12.5703125" style="190" customWidth="1"/>
    <col min="10798" max="11013" width="11.42578125" style="190"/>
    <col min="11014" max="11016" width="3.7109375" style="190" customWidth="1"/>
    <col min="11017" max="11017" width="4.140625" style="190" customWidth="1"/>
    <col min="11018" max="11018" width="4" style="190" customWidth="1"/>
    <col min="11019" max="11034" width="3.7109375" style="190" customWidth="1"/>
    <col min="11035" max="11035" width="3" style="190" customWidth="1"/>
    <col min="11036" max="11047" width="3.7109375" style="190" customWidth="1"/>
    <col min="11048" max="11048" width="22.7109375" style="190" customWidth="1"/>
    <col min="11049" max="11049" width="11.28515625" style="190" customWidth="1"/>
    <col min="11050" max="11050" width="10.85546875" style="190" customWidth="1"/>
    <col min="11051" max="11051" width="17.42578125" style="190" customWidth="1"/>
    <col min="11052" max="11052" width="9.7109375" style="190" customWidth="1"/>
    <col min="11053" max="11053" width="12.5703125" style="190" customWidth="1"/>
    <col min="11054" max="11269" width="11.42578125" style="190"/>
    <col min="11270" max="11272" width="3.7109375" style="190" customWidth="1"/>
    <col min="11273" max="11273" width="4.140625" style="190" customWidth="1"/>
    <col min="11274" max="11274" width="4" style="190" customWidth="1"/>
    <col min="11275" max="11290" width="3.7109375" style="190" customWidth="1"/>
    <col min="11291" max="11291" width="3" style="190" customWidth="1"/>
    <col min="11292" max="11303" width="3.7109375" style="190" customWidth="1"/>
    <col min="11304" max="11304" width="22.7109375" style="190" customWidth="1"/>
    <col min="11305" max="11305" width="11.28515625" style="190" customWidth="1"/>
    <col min="11306" max="11306" width="10.85546875" style="190" customWidth="1"/>
    <col min="11307" max="11307" width="17.42578125" style="190" customWidth="1"/>
    <col min="11308" max="11308" width="9.7109375" style="190" customWidth="1"/>
    <col min="11309" max="11309" width="12.5703125" style="190" customWidth="1"/>
    <col min="11310" max="11525" width="11.42578125" style="190"/>
    <col min="11526" max="11528" width="3.7109375" style="190" customWidth="1"/>
    <col min="11529" max="11529" width="4.140625" style="190" customWidth="1"/>
    <col min="11530" max="11530" width="4" style="190" customWidth="1"/>
    <col min="11531" max="11546" width="3.7109375" style="190" customWidth="1"/>
    <col min="11547" max="11547" width="3" style="190" customWidth="1"/>
    <col min="11548" max="11559" width="3.7109375" style="190" customWidth="1"/>
    <col min="11560" max="11560" width="22.7109375" style="190" customWidth="1"/>
    <col min="11561" max="11561" width="11.28515625" style="190" customWidth="1"/>
    <col min="11562" max="11562" width="10.85546875" style="190" customWidth="1"/>
    <col min="11563" max="11563" width="17.42578125" style="190" customWidth="1"/>
    <col min="11564" max="11564" width="9.7109375" style="190" customWidth="1"/>
    <col min="11565" max="11565" width="12.5703125" style="190" customWidth="1"/>
    <col min="11566" max="11781" width="11.42578125" style="190"/>
    <col min="11782" max="11784" width="3.7109375" style="190" customWidth="1"/>
    <col min="11785" max="11785" width="4.140625" style="190" customWidth="1"/>
    <col min="11786" max="11786" width="4" style="190" customWidth="1"/>
    <col min="11787" max="11802" width="3.7109375" style="190" customWidth="1"/>
    <col min="11803" max="11803" width="3" style="190" customWidth="1"/>
    <col min="11804" max="11815" width="3.7109375" style="190" customWidth="1"/>
    <col min="11816" max="11816" width="22.7109375" style="190" customWidth="1"/>
    <col min="11817" max="11817" width="11.28515625" style="190" customWidth="1"/>
    <col min="11818" max="11818" width="10.85546875" style="190" customWidth="1"/>
    <col min="11819" max="11819" width="17.42578125" style="190" customWidth="1"/>
    <col min="11820" max="11820" width="9.7109375" style="190" customWidth="1"/>
    <col min="11821" max="11821" width="12.5703125" style="190" customWidth="1"/>
    <col min="11822" max="12037" width="11.42578125" style="190"/>
    <col min="12038" max="12040" width="3.7109375" style="190" customWidth="1"/>
    <col min="12041" max="12041" width="4.140625" style="190" customWidth="1"/>
    <col min="12042" max="12042" width="4" style="190" customWidth="1"/>
    <col min="12043" max="12058" width="3.7109375" style="190" customWidth="1"/>
    <col min="12059" max="12059" width="3" style="190" customWidth="1"/>
    <col min="12060" max="12071" width="3.7109375" style="190" customWidth="1"/>
    <col min="12072" max="12072" width="22.7109375" style="190" customWidth="1"/>
    <col min="12073" max="12073" width="11.28515625" style="190" customWidth="1"/>
    <col min="12074" max="12074" width="10.85546875" style="190" customWidth="1"/>
    <col min="12075" max="12075" width="17.42578125" style="190" customWidth="1"/>
    <col min="12076" max="12076" width="9.7109375" style="190" customWidth="1"/>
    <col min="12077" max="12077" width="12.5703125" style="190" customWidth="1"/>
    <col min="12078" max="12293" width="11.42578125" style="190"/>
    <col min="12294" max="12296" width="3.7109375" style="190" customWidth="1"/>
    <col min="12297" max="12297" width="4.140625" style="190" customWidth="1"/>
    <col min="12298" max="12298" width="4" style="190" customWidth="1"/>
    <col min="12299" max="12314" width="3.7109375" style="190" customWidth="1"/>
    <col min="12315" max="12315" width="3" style="190" customWidth="1"/>
    <col min="12316" max="12327" width="3.7109375" style="190" customWidth="1"/>
    <col min="12328" max="12328" width="22.7109375" style="190" customWidth="1"/>
    <col min="12329" max="12329" width="11.28515625" style="190" customWidth="1"/>
    <col min="12330" max="12330" width="10.85546875" style="190" customWidth="1"/>
    <col min="12331" max="12331" width="17.42578125" style="190" customWidth="1"/>
    <col min="12332" max="12332" width="9.7109375" style="190" customWidth="1"/>
    <col min="12333" max="12333" width="12.5703125" style="190" customWidth="1"/>
    <col min="12334" max="12549" width="11.42578125" style="190"/>
    <col min="12550" max="12552" width="3.7109375" style="190" customWidth="1"/>
    <col min="12553" max="12553" width="4.140625" style="190" customWidth="1"/>
    <col min="12554" max="12554" width="4" style="190" customWidth="1"/>
    <col min="12555" max="12570" width="3.7109375" style="190" customWidth="1"/>
    <col min="12571" max="12571" width="3" style="190" customWidth="1"/>
    <col min="12572" max="12583" width="3.7109375" style="190" customWidth="1"/>
    <col min="12584" max="12584" width="22.7109375" style="190" customWidth="1"/>
    <col min="12585" max="12585" width="11.28515625" style="190" customWidth="1"/>
    <col min="12586" max="12586" width="10.85546875" style="190" customWidth="1"/>
    <col min="12587" max="12587" width="17.42578125" style="190" customWidth="1"/>
    <col min="12588" max="12588" width="9.7109375" style="190" customWidth="1"/>
    <col min="12589" max="12589" width="12.5703125" style="190" customWidth="1"/>
    <col min="12590" max="12805" width="11.42578125" style="190"/>
    <col min="12806" max="12808" width="3.7109375" style="190" customWidth="1"/>
    <col min="12809" max="12809" width="4.140625" style="190" customWidth="1"/>
    <col min="12810" max="12810" width="4" style="190" customWidth="1"/>
    <col min="12811" max="12826" width="3.7109375" style="190" customWidth="1"/>
    <col min="12827" max="12827" width="3" style="190" customWidth="1"/>
    <col min="12828" max="12839" width="3.7109375" style="190" customWidth="1"/>
    <col min="12840" max="12840" width="22.7109375" style="190" customWidth="1"/>
    <col min="12841" max="12841" width="11.28515625" style="190" customWidth="1"/>
    <col min="12842" max="12842" width="10.85546875" style="190" customWidth="1"/>
    <col min="12843" max="12843" width="17.42578125" style="190" customWidth="1"/>
    <col min="12844" max="12844" width="9.7109375" style="190" customWidth="1"/>
    <col min="12845" max="12845" width="12.5703125" style="190" customWidth="1"/>
    <col min="12846" max="13061" width="11.42578125" style="190"/>
    <col min="13062" max="13064" width="3.7109375" style="190" customWidth="1"/>
    <col min="13065" max="13065" width="4.140625" style="190" customWidth="1"/>
    <col min="13066" max="13066" width="4" style="190" customWidth="1"/>
    <col min="13067" max="13082" width="3.7109375" style="190" customWidth="1"/>
    <col min="13083" max="13083" width="3" style="190" customWidth="1"/>
    <col min="13084" max="13095" width="3.7109375" style="190" customWidth="1"/>
    <col min="13096" max="13096" width="22.7109375" style="190" customWidth="1"/>
    <col min="13097" max="13097" width="11.28515625" style="190" customWidth="1"/>
    <col min="13098" max="13098" width="10.85546875" style="190" customWidth="1"/>
    <col min="13099" max="13099" width="17.42578125" style="190" customWidth="1"/>
    <col min="13100" max="13100" width="9.7109375" style="190" customWidth="1"/>
    <col min="13101" max="13101" width="12.5703125" style="190" customWidth="1"/>
    <col min="13102" max="13317" width="11.42578125" style="190"/>
    <col min="13318" max="13320" width="3.7109375" style="190" customWidth="1"/>
    <col min="13321" max="13321" width="4.140625" style="190" customWidth="1"/>
    <col min="13322" max="13322" width="4" style="190" customWidth="1"/>
    <col min="13323" max="13338" width="3.7109375" style="190" customWidth="1"/>
    <col min="13339" max="13339" width="3" style="190" customWidth="1"/>
    <col min="13340" max="13351" width="3.7109375" style="190" customWidth="1"/>
    <col min="13352" max="13352" width="22.7109375" style="190" customWidth="1"/>
    <col min="13353" max="13353" width="11.28515625" style="190" customWidth="1"/>
    <col min="13354" max="13354" width="10.85546875" style="190" customWidth="1"/>
    <col min="13355" max="13355" width="17.42578125" style="190" customWidth="1"/>
    <col min="13356" max="13356" width="9.7109375" style="190" customWidth="1"/>
    <col min="13357" max="13357" width="12.5703125" style="190" customWidth="1"/>
    <col min="13358" max="13573" width="11.42578125" style="190"/>
    <col min="13574" max="13576" width="3.7109375" style="190" customWidth="1"/>
    <col min="13577" max="13577" width="4.140625" style="190" customWidth="1"/>
    <col min="13578" max="13578" width="4" style="190" customWidth="1"/>
    <col min="13579" max="13594" width="3.7109375" style="190" customWidth="1"/>
    <col min="13595" max="13595" width="3" style="190" customWidth="1"/>
    <col min="13596" max="13607" width="3.7109375" style="190" customWidth="1"/>
    <col min="13608" max="13608" width="22.7109375" style="190" customWidth="1"/>
    <col min="13609" max="13609" width="11.28515625" style="190" customWidth="1"/>
    <col min="13610" max="13610" width="10.85546875" style="190" customWidth="1"/>
    <col min="13611" max="13611" width="17.42578125" style="190" customWidth="1"/>
    <col min="13612" max="13612" width="9.7109375" style="190" customWidth="1"/>
    <col min="13613" max="13613" width="12.5703125" style="190" customWidth="1"/>
    <col min="13614" max="13829" width="11.42578125" style="190"/>
    <col min="13830" max="13832" width="3.7109375" style="190" customWidth="1"/>
    <col min="13833" max="13833" width="4.140625" style="190" customWidth="1"/>
    <col min="13834" max="13834" width="4" style="190" customWidth="1"/>
    <col min="13835" max="13850" width="3.7109375" style="190" customWidth="1"/>
    <col min="13851" max="13851" width="3" style="190" customWidth="1"/>
    <col min="13852" max="13863" width="3.7109375" style="190" customWidth="1"/>
    <col min="13864" max="13864" width="22.7109375" style="190" customWidth="1"/>
    <col min="13865" max="13865" width="11.28515625" style="190" customWidth="1"/>
    <col min="13866" max="13866" width="10.85546875" style="190" customWidth="1"/>
    <col min="13867" max="13867" width="17.42578125" style="190" customWidth="1"/>
    <col min="13868" max="13868" width="9.7109375" style="190" customWidth="1"/>
    <col min="13869" max="13869" width="12.5703125" style="190" customWidth="1"/>
    <col min="13870" max="14085" width="11.42578125" style="190"/>
    <col min="14086" max="14088" width="3.7109375" style="190" customWidth="1"/>
    <col min="14089" max="14089" width="4.140625" style="190" customWidth="1"/>
    <col min="14090" max="14090" width="4" style="190" customWidth="1"/>
    <col min="14091" max="14106" width="3.7109375" style="190" customWidth="1"/>
    <col min="14107" max="14107" width="3" style="190" customWidth="1"/>
    <col min="14108" max="14119" width="3.7109375" style="190" customWidth="1"/>
    <col min="14120" max="14120" width="22.7109375" style="190" customWidth="1"/>
    <col min="14121" max="14121" width="11.28515625" style="190" customWidth="1"/>
    <col min="14122" max="14122" width="10.85546875" style="190" customWidth="1"/>
    <col min="14123" max="14123" width="17.42578125" style="190" customWidth="1"/>
    <col min="14124" max="14124" width="9.7109375" style="190" customWidth="1"/>
    <col min="14125" max="14125" width="12.5703125" style="190" customWidth="1"/>
    <col min="14126" max="14341" width="11.42578125" style="190"/>
    <col min="14342" max="14344" width="3.7109375" style="190" customWidth="1"/>
    <col min="14345" max="14345" width="4.140625" style="190" customWidth="1"/>
    <col min="14346" max="14346" width="4" style="190" customWidth="1"/>
    <col min="14347" max="14362" width="3.7109375" style="190" customWidth="1"/>
    <col min="14363" max="14363" width="3" style="190" customWidth="1"/>
    <col min="14364" max="14375" width="3.7109375" style="190" customWidth="1"/>
    <col min="14376" max="14376" width="22.7109375" style="190" customWidth="1"/>
    <col min="14377" max="14377" width="11.28515625" style="190" customWidth="1"/>
    <col min="14378" max="14378" width="10.85546875" style="190" customWidth="1"/>
    <col min="14379" max="14379" width="17.42578125" style="190" customWidth="1"/>
    <col min="14380" max="14380" width="9.7109375" style="190" customWidth="1"/>
    <col min="14381" max="14381" width="12.5703125" style="190" customWidth="1"/>
    <col min="14382" max="14597" width="11.42578125" style="190"/>
    <col min="14598" max="14600" width="3.7109375" style="190" customWidth="1"/>
    <col min="14601" max="14601" width="4.140625" style="190" customWidth="1"/>
    <col min="14602" max="14602" width="4" style="190" customWidth="1"/>
    <col min="14603" max="14618" width="3.7109375" style="190" customWidth="1"/>
    <col min="14619" max="14619" width="3" style="190" customWidth="1"/>
    <col min="14620" max="14631" width="3.7109375" style="190" customWidth="1"/>
    <col min="14632" max="14632" width="22.7109375" style="190" customWidth="1"/>
    <col min="14633" max="14633" width="11.28515625" style="190" customWidth="1"/>
    <col min="14634" max="14634" width="10.85546875" style="190" customWidth="1"/>
    <col min="14635" max="14635" width="17.42578125" style="190" customWidth="1"/>
    <col min="14636" max="14636" width="9.7109375" style="190" customWidth="1"/>
    <col min="14637" max="14637" width="12.5703125" style="190" customWidth="1"/>
    <col min="14638" max="14853" width="11.42578125" style="190"/>
    <col min="14854" max="14856" width="3.7109375" style="190" customWidth="1"/>
    <col min="14857" max="14857" width="4.140625" style="190" customWidth="1"/>
    <col min="14858" max="14858" width="4" style="190" customWidth="1"/>
    <col min="14859" max="14874" width="3.7109375" style="190" customWidth="1"/>
    <col min="14875" max="14875" width="3" style="190" customWidth="1"/>
    <col min="14876" max="14887" width="3.7109375" style="190" customWidth="1"/>
    <col min="14888" max="14888" width="22.7109375" style="190" customWidth="1"/>
    <col min="14889" max="14889" width="11.28515625" style="190" customWidth="1"/>
    <col min="14890" max="14890" width="10.85546875" style="190" customWidth="1"/>
    <col min="14891" max="14891" width="17.42578125" style="190" customWidth="1"/>
    <col min="14892" max="14892" width="9.7109375" style="190" customWidth="1"/>
    <col min="14893" max="14893" width="12.5703125" style="190" customWidth="1"/>
    <col min="14894" max="15109" width="11.42578125" style="190"/>
    <col min="15110" max="15112" width="3.7109375" style="190" customWidth="1"/>
    <col min="15113" max="15113" width="4.140625" style="190" customWidth="1"/>
    <col min="15114" max="15114" width="4" style="190" customWidth="1"/>
    <col min="15115" max="15130" width="3.7109375" style="190" customWidth="1"/>
    <col min="15131" max="15131" width="3" style="190" customWidth="1"/>
    <col min="15132" max="15143" width="3.7109375" style="190" customWidth="1"/>
    <col min="15144" max="15144" width="22.7109375" style="190" customWidth="1"/>
    <col min="15145" max="15145" width="11.28515625" style="190" customWidth="1"/>
    <col min="15146" max="15146" width="10.85546875" style="190" customWidth="1"/>
    <col min="15147" max="15147" width="17.42578125" style="190" customWidth="1"/>
    <col min="15148" max="15148" width="9.7109375" style="190" customWidth="1"/>
    <col min="15149" max="15149" width="12.5703125" style="190" customWidth="1"/>
    <col min="15150" max="15365" width="11.42578125" style="190"/>
    <col min="15366" max="15368" width="3.7109375" style="190" customWidth="1"/>
    <col min="15369" max="15369" width="4.140625" style="190" customWidth="1"/>
    <col min="15370" max="15370" width="4" style="190" customWidth="1"/>
    <col min="15371" max="15386" width="3.7109375" style="190" customWidth="1"/>
    <col min="15387" max="15387" width="3" style="190" customWidth="1"/>
    <col min="15388" max="15399" width="3.7109375" style="190" customWidth="1"/>
    <col min="15400" max="15400" width="22.7109375" style="190" customWidth="1"/>
    <col min="15401" max="15401" width="11.28515625" style="190" customWidth="1"/>
    <col min="15402" max="15402" width="10.85546875" style="190" customWidth="1"/>
    <col min="15403" max="15403" width="17.42578125" style="190" customWidth="1"/>
    <col min="15404" max="15404" width="9.7109375" style="190" customWidth="1"/>
    <col min="15405" max="15405" width="12.5703125" style="190" customWidth="1"/>
    <col min="15406" max="15621" width="11.42578125" style="190"/>
    <col min="15622" max="15624" width="3.7109375" style="190" customWidth="1"/>
    <col min="15625" max="15625" width="4.140625" style="190" customWidth="1"/>
    <col min="15626" max="15626" width="4" style="190" customWidth="1"/>
    <col min="15627" max="15642" width="3.7109375" style="190" customWidth="1"/>
    <col min="15643" max="15643" width="3" style="190" customWidth="1"/>
    <col min="15644" max="15655" width="3.7109375" style="190" customWidth="1"/>
    <col min="15656" max="15656" width="22.7109375" style="190" customWidth="1"/>
    <col min="15657" max="15657" width="11.28515625" style="190" customWidth="1"/>
    <col min="15658" max="15658" width="10.85546875" style="190" customWidth="1"/>
    <col min="15659" max="15659" width="17.42578125" style="190" customWidth="1"/>
    <col min="15660" max="15660" width="9.7109375" style="190" customWidth="1"/>
    <col min="15661" max="15661" width="12.5703125" style="190" customWidth="1"/>
    <col min="15662" max="15877" width="11.42578125" style="190"/>
    <col min="15878" max="15880" width="3.7109375" style="190" customWidth="1"/>
    <col min="15881" max="15881" width="4.140625" style="190" customWidth="1"/>
    <col min="15882" max="15882" width="4" style="190" customWidth="1"/>
    <col min="15883" max="15898" width="3.7109375" style="190" customWidth="1"/>
    <col min="15899" max="15899" width="3" style="190" customWidth="1"/>
    <col min="15900" max="15911" width="3.7109375" style="190" customWidth="1"/>
    <col min="15912" max="15912" width="22.7109375" style="190" customWidth="1"/>
    <col min="15913" max="15913" width="11.28515625" style="190" customWidth="1"/>
    <col min="15914" max="15914" width="10.85546875" style="190" customWidth="1"/>
    <col min="15915" max="15915" width="17.42578125" style="190" customWidth="1"/>
    <col min="15916" max="15916" width="9.7109375" style="190" customWidth="1"/>
    <col min="15917" max="15917" width="12.5703125" style="190" customWidth="1"/>
    <col min="15918" max="16133" width="11.42578125" style="190"/>
    <col min="16134" max="16136" width="3.7109375" style="190" customWidth="1"/>
    <col min="16137" max="16137" width="4.140625" style="190" customWidth="1"/>
    <col min="16138" max="16138" width="4" style="190" customWidth="1"/>
    <col min="16139" max="16154" width="3.7109375" style="190" customWidth="1"/>
    <col min="16155" max="16155" width="3" style="190" customWidth="1"/>
    <col min="16156" max="16167" width="3.7109375" style="190" customWidth="1"/>
    <col min="16168" max="16168" width="22.7109375" style="190" customWidth="1"/>
    <col min="16169" max="16169" width="11.28515625" style="190" customWidth="1"/>
    <col min="16170" max="16170" width="10.85546875" style="190" customWidth="1"/>
    <col min="16171" max="16171" width="17.42578125" style="190" customWidth="1"/>
    <col min="16172" max="16172" width="9.7109375" style="190" customWidth="1"/>
    <col min="16173" max="16173" width="12.5703125" style="190" customWidth="1"/>
    <col min="16174" max="16384" width="11.42578125" style="190"/>
  </cols>
  <sheetData>
    <row r="1" spans="1:45" ht="15" customHeight="1">
      <c r="A1" s="1123" t="s">
        <v>341</v>
      </c>
      <c r="B1" s="1124"/>
      <c r="C1" s="1124"/>
      <c r="D1" s="1124"/>
      <c r="E1" s="1124"/>
      <c r="F1" s="1124"/>
      <c r="G1" s="1124"/>
      <c r="H1" s="1124"/>
      <c r="I1" s="1124"/>
      <c r="J1" s="1124"/>
      <c r="K1" s="1124"/>
      <c r="L1" s="1124"/>
      <c r="M1" s="1124"/>
      <c r="N1" s="1124"/>
      <c r="O1" s="1124"/>
      <c r="P1" s="1124"/>
      <c r="Q1" s="1124"/>
      <c r="R1" s="1124"/>
      <c r="S1" s="1124"/>
      <c r="T1" s="1124"/>
      <c r="U1" s="1124"/>
      <c r="V1" s="1124"/>
      <c r="W1" s="1124"/>
      <c r="X1" s="1127" t="str">
        <f>"MUNICIPIO DE "&amp;DATOS!$E$8</f>
        <v xml:space="preserve">MUNICIPIO DE </v>
      </c>
      <c r="Y1" s="1128"/>
      <c r="Z1" s="1128"/>
      <c r="AA1" s="1128"/>
      <c r="AB1" s="1128"/>
      <c r="AC1" s="1128"/>
      <c r="AD1" s="1128"/>
      <c r="AE1" s="1128"/>
      <c r="AF1" s="1128"/>
      <c r="AG1" s="1128"/>
      <c r="AH1" s="1128"/>
      <c r="AI1" s="1128"/>
      <c r="AJ1" s="1128"/>
      <c r="AK1" s="1128"/>
      <c r="AL1" s="1128"/>
      <c r="AM1" s="1128"/>
      <c r="AN1" s="1128"/>
      <c r="AO1" s="1128"/>
      <c r="AP1" s="243" t="s">
        <v>90</v>
      </c>
      <c r="AQ1" s="244"/>
      <c r="AR1" s="1106" t="s">
        <v>1128</v>
      </c>
      <c r="AS1" s="1107"/>
    </row>
    <row r="2" spans="1:45" ht="13.15" customHeight="1">
      <c r="A2" s="1125"/>
      <c r="B2" s="1126"/>
      <c r="C2" s="1126"/>
      <c r="D2" s="1126"/>
      <c r="E2" s="1126"/>
      <c r="F2" s="1126"/>
      <c r="G2" s="1126"/>
      <c r="H2" s="1126"/>
      <c r="I2" s="1126"/>
      <c r="J2" s="1126"/>
      <c r="K2" s="1126"/>
      <c r="L2" s="1126"/>
      <c r="M2" s="1126"/>
      <c r="N2" s="1126"/>
      <c r="O2" s="1126"/>
      <c r="P2" s="1126"/>
      <c r="Q2" s="1126"/>
      <c r="R2" s="1126"/>
      <c r="S2" s="1126"/>
      <c r="T2" s="1126"/>
      <c r="U2" s="1126"/>
      <c r="V2" s="1126"/>
      <c r="W2" s="1126"/>
      <c r="X2" s="269" t="str">
        <f>DATOS!$E$10&amp;" No.:"</f>
        <v xml:space="preserve"> No.:</v>
      </c>
      <c r="Y2" s="191"/>
      <c r="Z2" s="191"/>
      <c r="AA2" s="191"/>
      <c r="AB2" s="118"/>
      <c r="AC2" s="118"/>
      <c r="AD2" s="191"/>
      <c r="AE2" s="191"/>
      <c r="AF2" s="191"/>
      <c r="AG2" s="118"/>
      <c r="AH2" s="182"/>
      <c r="AI2" s="1114" t="str">
        <f>DATOS!$E$12&amp;" "&amp;DATOS!$G$12&amp;" "&amp;DATOS!$I$12</f>
        <v xml:space="preserve">  </v>
      </c>
      <c r="AJ2" s="1115"/>
      <c r="AK2" s="1115"/>
      <c r="AL2" s="1115"/>
      <c r="AM2" s="1115"/>
      <c r="AN2" s="1115"/>
      <c r="AO2" s="1116"/>
      <c r="AP2" s="184" t="s">
        <v>89</v>
      </c>
      <c r="AQ2" s="189"/>
      <c r="AR2" s="1108" t="s">
        <v>248</v>
      </c>
      <c r="AS2" s="1109"/>
    </row>
    <row r="3" spans="1:45" ht="13.15" customHeight="1">
      <c r="A3" s="1125"/>
      <c r="B3" s="1126"/>
      <c r="C3" s="1126"/>
      <c r="D3" s="1126"/>
      <c r="E3" s="1126"/>
      <c r="F3" s="1126"/>
      <c r="G3" s="1126"/>
      <c r="H3" s="1126"/>
      <c r="I3" s="1126"/>
      <c r="J3" s="1126"/>
      <c r="K3" s="1126"/>
      <c r="L3" s="1126"/>
      <c r="M3" s="1126"/>
      <c r="N3" s="1126"/>
      <c r="O3" s="1126"/>
      <c r="P3" s="1126"/>
      <c r="Q3" s="1126"/>
      <c r="R3" s="1126"/>
      <c r="S3" s="1126"/>
      <c r="T3" s="1126"/>
      <c r="U3" s="1126"/>
      <c r="V3" s="1126"/>
      <c r="W3" s="1126"/>
      <c r="X3" s="269" t="s">
        <v>4</v>
      </c>
      <c r="Y3" s="191"/>
      <c r="Z3" s="191"/>
      <c r="AA3" s="191"/>
      <c r="AB3" s="183"/>
      <c r="AC3" s="183"/>
      <c r="AD3" s="191"/>
      <c r="AE3" s="191"/>
      <c r="AF3" s="191"/>
      <c r="AG3" s="118"/>
      <c r="AH3" s="182"/>
      <c r="AI3" s="1114">
        <f>DATOS!$G$16</f>
        <v>0</v>
      </c>
      <c r="AJ3" s="1115"/>
      <c r="AK3" s="1115"/>
      <c r="AL3" s="1115"/>
      <c r="AM3" s="1115"/>
      <c r="AN3" s="1115"/>
      <c r="AO3" s="1116"/>
      <c r="AP3" s="184" t="s">
        <v>247</v>
      </c>
      <c r="AQ3" s="189"/>
      <c r="AR3" s="1110">
        <v>42705</v>
      </c>
      <c r="AS3" s="1109"/>
    </row>
    <row r="4" spans="1:45" ht="13.15" customHeight="1">
      <c r="A4" s="1125"/>
      <c r="B4" s="1126"/>
      <c r="C4" s="1126"/>
      <c r="D4" s="1126"/>
      <c r="E4" s="1126"/>
      <c r="F4" s="1126"/>
      <c r="G4" s="1126"/>
      <c r="H4" s="1126"/>
      <c r="I4" s="1126"/>
      <c r="J4" s="1126"/>
      <c r="K4" s="1126"/>
      <c r="L4" s="1126"/>
      <c r="M4" s="1126"/>
      <c r="N4" s="1126"/>
      <c r="O4" s="1126"/>
      <c r="P4" s="1126"/>
      <c r="Q4" s="1126"/>
      <c r="R4" s="1126"/>
      <c r="S4" s="1126"/>
      <c r="T4" s="1126"/>
      <c r="U4" s="1126"/>
      <c r="V4" s="1126"/>
      <c r="W4" s="1126"/>
      <c r="X4" s="269" t="s">
        <v>5</v>
      </c>
      <c r="Y4" s="191"/>
      <c r="Z4" s="191"/>
      <c r="AA4" s="191"/>
      <c r="AB4" s="183"/>
      <c r="AC4" s="183"/>
      <c r="AD4" s="191"/>
      <c r="AE4" s="191"/>
      <c r="AF4" s="191"/>
      <c r="AG4" s="118"/>
      <c r="AH4" s="182"/>
      <c r="AI4" s="1114" t="str">
        <f>IF(DATOS!$E$16="Persona Jurídica",DATOS!$G$20," ")</f>
        <v xml:space="preserve"> </v>
      </c>
      <c r="AJ4" s="1115"/>
      <c r="AK4" s="1115"/>
      <c r="AL4" s="1115"/>
      <c r="AM4" s="1115"/>
      <c r="AN4" s="1115"/>
      <c r="AO4" s="1116"/>
      <c r="AP4" s="1111" t="s">
        <v>344</v>
      </c>
      <c r="AQ4" s="1112"/>
      <c r="AR4" s="1112"/>
      <c r="AS4" s="1113"/>
    </row>
    <row r="5" spans="1:45" ht="13.15" customHeight="1">
      <c r="A5" s="1125"/>
      <c r="B5" s="1126"/>
      <c r="C5" s="1126"/>
      <c r="D5" s="1126"/>
      <c r="E5" s="1126"/>
      <c r="F5" s="1126"/>
      <c r="G5" s="1126"/>
      <c r="H5" s="1126"/>
      <c r="I5" s="1126"/>
      <c r="J5" s="1126"/>
      <c r="K5" s="1126"/>
      <c r="L5" s="1126"/>
      <c r="M5" s="1126"/>
      <c r="N5" s="1126"/>
      <c r="O5" s="1126"/>
      <c r="P5" s="1126"/>
      <c r="Q5" s="1126"/>
      <c r="R5" s="1126"/>
      <c r="S5" s="1126"/>
      <c r="T5" s="1126"/>
      <c r="U5" s="1126"/>
      <c r="V5" s="1126"/>
      <c r="W5" s="1126"/>
      <c r="X5" s="269" t="s">
        <v>105</v>
      </c>
      <c r="Y5" s="191"/>
      <c r="Z5" s="191"/>
      <c r="AA5" s="191"/>
      <c r="AB5" s="183"/>
      <c r="AC5" s="183"/>
      <c r="AD5" s="191"/>
      <c r="AE5" s="191"/>
      <c r="AF5" s="191"/>
      <c r="AG5" s="118"/>
      <c r="AH5" s="182"/>
      <c r="AI5" s="1114">
        <f>LOOKUP($X$5,DATOS!$C$24:$C$30,DATOS!$G$24:$G$30)</f>
        <v>0</v>
      </c>
      <c r="AJ5" s="1115"/>
      <c r="AK5" s="1115"/>
      <c r="AL5" s="1115"/>
      <c r="AM5" s="1115"/>
      <c r="AN5" s="1115"/>
      <c r="AO5" s="1116"/>
      <c r="AP5" s="1111"/>
      <c r="AQ5" s="1112"/>
      <c r="AR5" s="1112"/>
      <c r="AS5" s="1113"/>
    </row>
    <row r="6" spans="1:45" ht="13.15" customHeight="1">
      <c r="A6" s="1125"/>
      <c r="B6" s="1126"/>
      <c r="C6" s="1126"/>
      <c r="D6" s="1126"/>
      <c r="E6" s="1126"/>
      <c r="F6" s="1126"/>
      <c r="G6" s="1126"/>
      <c r="H6" s="1126"/>
      <c r="I6" s="1126"/>
      <c r="J6" s="1126"/>
      <c r="K6" s="1126"/>
      <c r="L6" s="1126"/>
      <c r="M6" s="1126"/>
      <c r="N6" s="1126"/>
      <c r="O6" s="1126"/>
      <c r="P6" s="1126"/>
      <c r="Q6" s="1126"/>
      <c r="R6" s="1126"/>
      <c r="S6" s="1126"/>
      <c r="T6" s="1126"/>
      <c r="U6" s="1126"/>
      <c r="V6" s="1126"/>
      <c r="W6" s="1126"/>
      <c r="X6" s="269" t="s">
        <v>5</v>
      </c>
      <c r="Y6" s="191"/>
      <c r="Z6" s="191"/>
      <c r="AA6" s="191"/>
      <c r="AB6" s="183"/>
      <c r="AC6" s="183"/>
      <c r="AD6" s="191"/>
      <c r="AE6" s="191"/>
      <c r="AF6" s="191"/>
      <c r="AG6" s="118"/>
      <c r="AH6" s="182"/>
      <c r="AI6" s="1114" t="str">
        <f>IF(DATOS!$E$24="Persona Jurídica",DATOS!$G$28," ")</f>
        <v xml:space="preserve"> </v>
      </c>
      <c r="AJ6" s="1115"/>
      <c r="AK6" s="1115"/>
      <c r="AL6" s="1115"/>
      <c r="AM6" s="1115"/>
      <c r="AN6" s="1115"/>
      <c r="AO6" s="1116"/>
      <c r="AP6" s="1111"/>
      <c r="AQ6" s="1112"/>
      <c r="AR6" s="1112"/>
      <c r="AS6" s="1113"/>
    </row>
    <row r="7" spans="1:45" ht="13.15" customHeight="1">
      <c r="A7" s="1125"/>
      <c r="B7" s="1126"/>
      <c r="C7" s="1126"/>
      <c r="D7" s="1126"/>
      <c r="E7" s="1126"/>
      <c r="F7" s="1126"/>
      <c r="G7" s="1126"/>
      <c r="H7" s="1126"/>
      <c r="I7" s="1126"/>
      <c r="J7" s="1126"/>
      <c r="K7" s="1126"/>
      <c r="L7" s="1126"/>
      <c r="M7" s="1126"/>
      <c r="N7" s="1126"/>
      <c r="O7" s="1126"/>
      <c r="P7" s="1126"/>
      <c r="Q7" s="1126"/>
      <c r="R7" s="1126"/>
      <c r="S7" s="1126"/>
      <c r="T7" s="1126"/>
      <c r="U7" s="1126"/>
      <c r="V7" s="1126"/>
      <c r="W7" s="1126"/>
      <c r="X7" s="269" t="s">
        <v>185</v>
      </c>
      <c r="Y7" s="191"/>
      <c r="Z7" s="191"/>
      <c r="AA7" s="191"/>
      <c r="AB7" s="183"/>
      <c r="AC7" s="183"/>
      <c r="AD7" s="191"/>
      <c r="AE7" s="191"/>
      <c r="AF7" s="191"/>
      <c r="AG7" s="118"/>
      <c r="AH7" s="182"/>
      <c r="AI7" s="1117">
        <f>DATOS!$E$46</f>
        <v>0</v>
      </c>
      <c r="AJ7" s="1118"/>
      <c r="AK7" s="1118"/>
      <c r="AL7" s="1118"/>
      <c r="AM7" s="1118"/>
      <c r="AN7" s="1118"/>
      <c r="AO7" s="1119"/>
      <c r="AP7" s="1111"/>
      <c r="AQ7" s="1112"/>
      <c r="AR7" s="1112"/>
      <c r="AS7" s="1113"/>
    </row>
    <row r="8" spans="1:45" ht="13.15" customHeight="1">
      <c r="A8" s="270" t="s">
        <v>8</v>
      </c>
      <c r="B8" s="185"/>
      <c r="C8" s="186"/>
      <c r="D8" s="1129">
        <f>DATOS!$E$38</f>
        <v>0</v>
      </c>
      <c r="E8" s="1130"/>
      <c r="F8" s="1130"/>
      <c r="G8" s="1130"/>
      <c r="H8" s="1130"/>
      <c r="I8" s="1130"/>
      <c r="J8" s="1130"/>
      <c r="K8" s="1130"/>
      <c r="L8" s="1130"/>
      <c r="M8" s="1130"/>
      <c r="N8" s="1130"/>
      <c r="O8" s="1130"/>
      <c r="P8" s="1130"/>
      <c r="Q8" s="1130"/>
      <c r="R8" s="1130"/>
      <c r="S8" s="1130"/>
      <c r="T8" s="1130"/>
      <c r="U8" s="1130"/>
      <c r="V8" s="1130"/>
      <c r="W8" s="1131"/>
      <c r="X8" s="269" t="s">
        <v>77</v>
      </c>
      <c r="Y8" s="191"/>
      <c r="Z8" s="191"/>
      <c r="AA8" s="191"/>
      <c r="AB8" s="183"/>
      <c r="AC8" s="183"/>
      <c r="AD8" s="191"/>
      <c r="AE8" s="191"/>
      <c r="AF8" s="191"/>
      <c r="AG8" s="118"/>
      <c r="AH8" s="182"/>
      <c r="AI8" s="1117">
        <f>DATOS!$E$60</f>
        <v>30000000</v>
      </c>
      <c r="AJ8" s="1118"/>
      <c r="AK8" s="1118"/>
      <c r="AL8" s="1118"/>
      <c r="AM8" s="1118"/>
      <c r="AN8" s="1118"/>
      <c r="AO8" s="1119"/>
      <c r="AP8" s="1111"/>
      <c r="AQ8" s="1112"/>
      <c r="AR8" s="1112"/>
      <c r="AS8" s="1113"/>
    </row>
    <row r="9" spans="1:45" ht="13.15" customHeight="1">
      <c r="A9" s="245"/>
      <c r="B9" s="185"/>
      <c r="C9" s="186"/>
      <c r="D9" s="1129"/>
      <c r="E9" s="1130"/>
      <c r="F9" s="1130"/>
      <c r="G9" s="1130"/>
      <c r="H9" s="1130"/>
      <c r="I9" s="1130"/>
      <c r="J9" s="1130"/>
      <c r="K9" s="1130"/>
      <c r="L9" s="1130"/>
      <c r="M9" s="1130"/>
      <c r="N9" s="1130"/>
      <c r="O9" s="1130"/>
      <c r="P9" s="1130"/>
      <c r="Q9" s="1130"/>
      <c r="R9" s="1130"/>
      <c r="S9" s="1130"/>
      <c r="T9" s="1130"/>
      <c r="U9" s="1130"/>
      <c r="V9" s="1130"/>
      <c r="W9" s="1131"/>
      <c r="X9" s="269" t="s">
        <v>78</v>
      </c>
      <c r="Y9" s="191"/>
      <c r="Z9" s="191"/>
      <c r="AA9" s="191"/>
      <c r="AB9" s="183"/>
      <c r="AC9" s="183"/>
      <c r="AD9" s="191"/>
      <c r="AE9" s="191"/>
      <c r="AF9" s="191"/>
      <c r="AG9" s="118"/>
      <c r="AH9" s="182"/>
      <c r="AI9" s="1117">
        <f>DATOS!$E$62</f>
        <v>0</v>
      </c>
      <c r="AJ9" s="1118"/>
      <c r="AK9" s="1118"/>
      <c r="AL9" s="1118"/>
      <c r="AM9" s="1118"/>
      <c r="AN9" s="1118"/>
      <c r="AO9" s="1119"/>
      <c r="AP9" s="1136">
        <v>42370</v>
      </c>
      <c r="AQ9" s="1137"/>
      <c r="AR9" s="1137"/>
      <c r="AS9" s="1138"/>
    </row>
    <row r="10" spans="1:45">
      <c r="A10" s="246"/>
      <c r="B10" s="187"/>
      <c r="C10" s="188"/>
      <c r="D10" s="1132"/>
      <c r="E10" s="1133"/>
      <c r="F10" s="1133"/>
      <c r="G10" s="1133"/>
      <c r="H10" s="1133"/>
      <c r="I10" s="1133"/>
      <c r="J10" s="1133"/>
      <c r="K10" s="1133"/>
      <c r="L10" s="1133"/>
      <c r="M10" s="1133"/>
      <c r="N10" s="1133"/>
      <c r="O10" s="1133"/>
      <c r="P10" s="1133"/>
      <c r="Q10" s="1133"/>
      <c r="R10" s="1133"/>
      <c r="S10" s="1133"/>
      <c r="T10" s="1133"/>
      <c r="U10" s="1133"/>
      <c r="V10" s="1133"/>
      <c r="W10" s="1134"/>
      <c r="X10" s="269" t="s">
        <v>186</v>
      </c>
      <c r="Y10" s="191"/>
      <c r="Z10" s="191"/>
      <c r="AA10" s="191"/>
      <c r="AB10" s="183"/>
      <c r="AC10" s="183"/>
      <c r="AD10" s="191"/>
      <c r="AE10" s="191"/>
      <c r="AF10" s="191"/>
      <c r="AG10" s="118"/>
      <c r="AH10" s="182"/>
      <c r="AI10" s="1117">
        <f>$AI$7+$AI$8+$AI$9</f>
        <v>30000000</v>
      </c>
      <c r="AJ10" s="1118"/>
      <c r="AK10" s="1118"/>
      <c r="AL10" s="1118"/>
      <c r="AM10" s="1118"/>
      <c r="AN10" s="1118"/>
      <c r="AO10" s="1119"/>
      <c r="AP10" s="1136"/>
      <c r="AQ10" s="1137"/>
      <c r="AR10" s="1137"/>
      <c r="AS10" s="1138"/>
    </row>
    <row r="11" spans="1:45" ht="13.15" customHeight="1">
      <c r="A11" s="247"/>
      <c r="B11" s="248"/>
      <c r="C11" s="248"/>
      <c r="D11" s="248"/>
      <c r="E11" s="248"/>
      <c r="F11" s="248"/>
      <c r="G11" s="248"/>
      <c r="H11" s="248"/>
      <c r="I11" s="248"/>
      <c r="J11" s="248"/>
      <c r="K11" s="248"/>
      <c r="L11" s="248"/>
      <c r="M11" s="248"/>
      <c r="N11" s="248"/>
      <c r="O11" s="248"/>
      <c r="P11" s="248"/>
      <c r="Q11" s="248"/>
      <c r="R11" s="248"/>
      <c r="S11" s="248"/>
      <c r="T11" s="248"/>
      <c r="U11" s="248"/>
      <c r="V11" s="248"/>
      <c r="W11" s="248"/>
      <c r="X11" s="248"/>
      <c r="Y11" s="248"/>
      <c r="Z11" s="248"/>
      <c r="AA11" s="248"/>
      <c r="AB11" s="248"/>
      <c r="AC11" s="248"/>
      <c r="AD11" s="248"/>
      <c r="AE11" s="248"/>
      <c r="AF11" s="248"/>
      <c r="AG11" s="248"/>
      <c r="AH11" s="248"/>
      <c r="AI11" s="248"/>
      <c r="AJ11" s="248"/>
      <c r="AK11" s="248"/>
      <c r="AL11" s="248"/>
      <c r="AM11" s="249"/>
      <c r="AN11" s="248"/>
      <c r="AO11" s="248"/>
      <c r="AP11" s="248"/>
      <c r="AQ11" s="248"/>
      <c r="AR11" s="248"/>
      <c r="AS11" s="250"/>
    </row>
    <row r="12" spans="1:45" ht="13.15" customHeight="1">
      <c r="A12" s="1120" t="s">
        <v>361</v>
      </c>
      <c r="B12" s="1120"/>
      <c r="C12" s="1120"/>
      <c r="D12" s="1120"/>
      <c r="E12" s="1120"/>
      <c r="F12" s="1121" t="s">
        <v>345</v>
      </c>
      <c r="G12" s="1121"/>
      <c r="H12" s="1121"/>
      <c r="I12" s="1121"/>
      <c r="J12" s="1121"/>
      <c r="K12" s="1121"/>
      <c r="L12" s="1121"/>
      <c r="M12" s="1121"/>
      <c r="N12" s="1121"/>
      <c r="O12" s="1121"/>
      <c r="P12" s="1121"/>
      <c r="Q12" s="1121"/>
      <c r="R12" s="1121"/>
      <c r="S12" s="1121"/>
      <c r="T12" s="1121"/>
      <c r="U12" s="1121"/>
      <c r="V12" s="1121"/>
      <c r="W12" s="1121"/>
      <c r="X12" s="1120" t="s">
        <v>181</v>
      </c>
      <c r="Y12" s="1120"/>
      <c r="Z12" s="1120"/>
      <c r="AA12" s="1097" t="s">
        <v>346</v>
      </c>
      <c r="AB12" s="1097"/>
      <c r="AC12" s="1097"/>
      <c r="AD12" s="1097"/>
      <c r="AE12" s="1097"/>
      <c r="AF12" s="1097"/>
      <c r="AG12" s="1097"/>
      <c r="AH12" s="1097"/>
      <c r="AI12" s="1097"/>
      <c r="AJ12" s="1097"/>
      <c r="AK12" s="1097"/>
      <c r="AL12" s="1097"/>
      <c r="AM12" s="1097"/>
      <c r="AN12" s="1097"/>
      <c r="AO12" s="1098" t="s">
        <v>342</v>
      </c>
      <c r="AP12" s="1100" t="s">
        <v>162</v>
      </c>
      <c r="AQ12" s="1098" t="s">
        <v>343</v>
      </c>
      <c r="AR12" s="1102" t="s">
        <v>120</v>
      </c>
      <c r="AS12" s="1103"/>
    </row>
    <row r="13" spans="1:45" ht="13.15" customHeight="1">
      <c r="A13" s="1120"/>
      <c r="B13" s="1120"/>
      <c r="C13" s="1120"/>
      <c r="D13" s="1120"/>
      <c r="E13" s="1120"/>
      <c r="F13" s="1121"/>
      <c r="G13" s="1121"/>
      <c r="H13" s="1121"/>
      <c r="I13" s="1121"/>
      <c r="J13" s="1121"/>
      <c r="K13" s="1121"/>
      <c r="L13" s="1121"/>
      <c r="M13" s="1121"/>
      <c r="N13" s="1121"/>
      <c r="O13" s="1121"/>
      <c r="P13" s="1121"/>
      <c r="Q13" s="1121"/>
      <c r="R13" s="1121"/>
      <c r="S13" s="1121"/>
      <c r="T13" s="1121"/>
      <c r="U13" s="1121"/>
      <c r="V13" s="1121"/>
      <c r="W13" s="1121"/>
      <c r="X13" s="1120"/>
      <c r="Y13" s="1120"/>
      <c r="Z13" s="1120"/>
      <c r="AA13" s="1097"/>
      <c r="AB13" s="1097"/>
      <c r="AC13" s="1097"/>
      <c r="AD13" s="1097"/>
      <c r="AE13" s="1097"/>
      <c r="AF13" s="1097"/>
      <c r="AG13" s="1097"/>
      <c r="AH13" s="1097"/>
      <c r="AI13" s="1097"/>
      <c r="AJ13" s="1097"/>
      <c r="AK13" s="1097"/>
      <c r="AL13" s="1097"/>
      <c r="AM13" s="1097"/>
      <c r="AN13" s="1097"/>
      <c r="AO13" s="1099"/>
      <c r="AP13" s="1101"/>
      <c r="AQ13" s="1099"/>
      <c r="AR13" s="1104"/>
      <c r="AS13" s="1105"/>
    </row>
    <row r="14" spans="1:45" ht="13.15" customHeight="1">
      <c r="A14" s="211" t="s">
        <v>347</v>
      </c>
      <c r="B14" s="212"/>
      <c r="C14" s="213"/>
      <c r="D14" s="212"/>
      <c r="E14" s="212"/>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2"/>
      <c r="AM14" s="214"/>
      <c r="AN14" s="1099" t="s">
        <v>354</v>
      </c>
      <c r="AO14" s="1135" t="s">
        <v>351</v>
      </c>
      <c r="AP14" s="1135"/>
      <c r="AQ14" s="1135"/>
      <c r="AR14" s="1083" t="s">
        <v>352</v>
      </c>
      <c r="AS14" s="1085" t="s">
        <v>353</v>
      </c>
    </row>
    <row r="15" spans="1:45" ht="13.15" customHeight="1">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215"/>
      <c r="AN15" s="1120"/>
      <c r="AO15" s="268" t="s">
        <v>337</v>
      </c>
      <c r="AP15" s="268" t="s">
        <v>349</v>
      </c>
      <c r="AQ15" s="268" t="s">
        <v>350</v>
      </c>
      <c r="AR15" s="1084"/>
      <c r="AS15" s="1086"/>
    </row>
    <row r="16" spans="1:45" ht="13.15" customHeight="1">
      <c r="A16" s="197"/>
      <c r="B16" s="198"/>
      <c r="C16" s="198"/>
      <c r="D16" s="199"/>
      <c r="E16" s="199"/>
      <c r="F16" s="199"/>
      <c r="G16" s="199"/>
      <c r="H16" s="199"/>
      <c r="I16" s="199"/>
      <c r="J16" s="199"/>
      <c r="K16" s="199"/>
      <c r="L16" s="200"/>
      <c r="M16" s="200"/>
      <c r="N16" s="200"/>
      <c r="O16" s="199"/>
      <c r="P16" s="199"/>
      <c r="Q16" s="199"/>
      <c r="R16" s="199"/>
      <c r="S16" s="199"/>
      <c r="T16" s="199"/>
      <c r="U16" s="199"/>
      <c r="V16" s="199"/>
      <c r="W16" s="199"/>
      <c r="X16" s="199"/>
      <c r="Y16" s="199"/>
      <c r="Z16" s="199"/>
      <c r="AA16" s="199"/>
      <c r="AB16" s="199"/>
      <c r="AC16" s="200"/>
      <c r="AD16" s="200"/>
      <c r="AE16" s="200"/>
      <c r="AF16" s="199"/>
      <c r="AG16" s="201"/>
      <c r="AH16" s="201"/>
      <c r="AI16" s="201"/>
      <c r="AJ16" s="201"/>
      <c r="AK16" s="201"/>
      <c r="AL16" s="198"/>
      <c r="AM16" s="215"/>
      <c r="AN16" s="264"/>
      <c r="AO16" s="265"/>
      <c r="AP16" s="266"/>
      <c r="AQ16" s="266"/>
      <c r="AR16" s="266"/>
      <c r="AS16" s="267"/>
    </row>
    <row r="17" spans="1:46" ht="13.15" customHeight="1">
      <c r="A17" s="197"/>
      <c r="B17" s="198"/>
      <c r="C17" s="198"/>
      <c r="D17" s="199"/>
      <c r="E17" s="199"/>
      <c r="F17" s="199"/>
      <c r="G17" s="199"/>
      <c r="H17" s="199"/>
      <c r="I17" s="199"/>
      <c r="J17" s="202"/>
      <c r="K17" s="199"/>
      <c r="L17" s="199"/>
      <c r="M17" s="199"/>
      <c r="N17" s="199"/>
      <c r="O17" s="201"/>
      <c r="P17" s="201"/>
      <c r="Q17" s="201"/>
      <c r="R17" s="201"/>
      <c r="S17" s="199"/>
      <c r="T17" s="199"/>
      <c r="U17" s="199"/>
      <c r="V17" s="199"/>
      <c r="W17" s="199"/>
      <c r="X17" s="199"/>
      <c r="Y17" s="199"/>
      <c r="Z17" s="199"/>
      <c r="AA17" s="202"/>
      <c r="AB17" s="199"/>
      <c r="AC17" s="199"/>
      <c r="AD17" s="199"/>
      <c r="AE17" s="199"/>
      <c r="AF17" s="201"/>
      <c r="AG17" s="201"/>
      <c r="AH17" s="201"/>
      <c r="AI17" s="201"/>
      <c r="AJ17" s="201"/>
      <c r="AK17" s="201"/>
      <c r="AL17" s="198"/>
      <c r="AM17" s="215"/>
      <c r="AN17" s="219"/>
      <c r="AO17" s="217"/>
      <c r="AP17" s="217"/>
      <c r="AQ17" s="218"/>
      <c r="AR17" s="220"/>
      <c r="AS17" s="251"/>
    </row>
    <row r="18" spans="1:46" ht="13.15" customHeight="1">
      <c r="A18" s="197"/>
      <c r="B18" s="198"/>
      <c r="C18" s="198"/>
      <c r="D18" s="199"/>
      <c r="E18" s="199"/>
      <c r="F18" s="199"/>
      <c r="G18" s="199"/>
      <c r="H18" s="199"/>
      <c r="I18" s="199"/>
      <c r="J18" s="202"/>
      <c r="K18" s="199"/>
      <c r="L18" s="199"/>
      <c r="M18" s="199"/>
      <c r="N18" s="199"/>
      <c r="O18" s="199"/>
      <c r="P18" s="199"/>
      <c r="Q18" s="199"/>
      <c r="R18" s="199"/>
      <c r="S18" s="199"/>
      <c r="T18" s="199"/>
      <c r="U18" s="199"/>
      <c r="V18" s="199"/>
      <c r="W18" s="199"/>
      <c r="X18" s="199"/>
      <c r="Y18" s="199"/>
      <c r="Z18" s="199"/>
      <c r="AA18" s="202"/>
      <c r="AB18" s="199"/>
      <c r="AC18" s="199"/>
      <c r="AD18" s="199"/>
      <c r="AE18" s="199"/>
      <c r="AF18" s="199"/>
      <c r="AG18" s="201"/>
      <c r="AH18" s="201"/>
      <c r="AI18" s="201"/>
      <c r="AJ18" s="201"/>
      <c r="AK18" s="201"/>
      <c r="AL18" s="198"/>
      <c r="AM18" s="215"/>
      <c r="AN18" s="219"/>
      <c r="AO18" s="221"/>
      <c r="AP18" s="221"/>
      <c r="AQ18" s="222"/>
      <c r="AR18" s="220"/>
      <c r="AS18" s="251"/>
    </row>
    <row r="19" spans="1:46" ht="13.15" customHeight="1">
      <c r="A19" s="197"/>
      <c r="B19" s="198"/>
      <c r="C19" s="198"/>
      <c r="D19" s="199"/>
      <c r="E19" s="199"/>
      <c r="F19" s="199"/>
      <c r="G19" s="199"/>
      <c r="H19" s="199"/>
      <c r="I19" s="199"/>
      <c r="J19" s="202"/>
      <c r="K19" s="199"/>
      <c r="L19" s="199"/>
      <c r="M19" s="199"/>
      <c r="N19" s="199"/>
      <c r="O19" s="199"/>
      <c r="P19" s="199"/>
      <c r="Q19" s="199"/>
      <c r="R19" s="199"/>
      <c r="S19" s="199"/>
      <c r="T19" s="199"/>
      <c r="U19" s="199"/>
      <c r="V19" s="199"/>
      <c r="W19" s="199"/>
      <c r="X19" s="199"/>
      <c r="Y19" s="199"/>
      <c r="Z19" s="199"/>
      <c r="AA19" s="202"/>
      <c r="AB19" s="199"/>
      <c r="AC19" s="199"/>
      <c r="AD19" s="199"/>
      <c r="AE19" s="199"/>
      <c r="AF19" s="199"/>
      <c r="AG19" s="201"/>
      <c r="AH19" s="201"/>
      <c r="AI19" s="201"/>
      <c r="AJ19" s="201"/>
      <c r="AK19" s="201"/>
      <c r="AL19" s="198"/>
      <c r="AM19" s="215"/>
      <c r="AN19" s="219"/>
      <c r="AO19" s="221"/>
      <c r="AP19" s="217"/>
      <c r="AQ19" s="222"/>
      <c r="AR19" s="218"/>
      <c r="AS19" s="251"/>
    </row>
    <row r="20" spans="1:46" ht="13.15" customHeight="1">
      <c r="A20" s="197"/>
      <c r="B20" s="198"/>
      <c r="C20" s="198"/>
      <c r="D20" s="201"/>
      <c r="E20" s="201"/>
      <c r="F20" s="201"/>
      <c r="G20" s="201"/>
      <c r="H20" s="201"/>
      <c r="I20" s="201"/>
      <c r="J20" s="202"/>
      <c r="K20" s="201"/>
      <c r="L20" s="201"/>
      <c r="M20" s="201"/>
      <c r="N20" s="201"/>
      <c r="O20" s="201"/>
      <c r="P20" s="201"/>
      <c r="Q20" s="201"/>
      <c r="R20" s="201"/>
      <c r="S20" s="199"/>
      <c r="T20" s="199"/>
      <c r="U20" s="201"/>
      <c r="V20" s="201"/>
      <c r="W20" s="201"/>
      <c r="X20" s="201"/>
      <c r="Y20" s="201"/>
      <c r="Z20" s="201"/>
      <c r="AA20" s="202"/>
      <c r="AB20" s="201"/>
      <c r="AC20" s="201"/>
      <c r="AD20" s="201"/>
      <c r="AE20" s="201"/>
      <c r="AF20" s="201"/>
      <c r="AG20" s="201"/>
      <c r="AH20" s="201"/>
      <c r="AI20" s="201"/>
      <c r="AJ20" s="201"/>
      <c r="AK20" s="201"/>
      <c r="AL20" s="198"/>
      <c r="AM20" s="215"/>
      <c r="AN20" s="219"/>
      <c r="AO20" s="221"/>
      <c r="AP20" s="217"/>
      <c r="AQ20" s="222"/>
      <c r="AR20" s="218"/>
      <c r="AS20" s="251"/>
    </row>
    <row r="21" spans="1:46" ht="13.15" customHeight="1">
      <c r="A21" s="197"/>
      <c r="B21" s="198"/>
      <c r="C21" s="198"/>
      <c r="D21" s="201"/>
      <c r="E21" s="201"/>
      <c r="F21" s="201"/>
      <c r="G21" s="201"/>
      <c r="H21" s="201"/>
      <c r="I21" s="201"/>
      <c r="J21" s="202"/>
      <c r="K21" s="201"/>
      <c r="L21" s="201"/>
      <c r="M21" s="201"/>
      <c r="N21" s="201"/>
      <c r="O21" s="201"/>
      <c r="P21" s="201"/>
      <c r="Q21" s="201"/>
      <c r="R21" s="201"/>
      <c r="S21" s="199"/>
      <c r="T21" s="199"/>
      <c r="U21" s="201"/>
      <c r="V21" s="201"/>
      <c r="W21" s="201"/>
      <c r="X21" s="201"/>
      <c r="Y21" s="201"/>
      <c r="Z21" s="201"/>
      <c r="AA21" s="202"/>
      <c r="AB21" s="201"/>
      <c r="AC21" s="201"/>
      <c r="AD21" s="201"/>
      <c r="AE21" s="201"/>
      <c r="AF21" s="201"/>
      <c r="AG21" s="201"/>
      <c r="AH21" s="201"/>
      <c r="AI21" s="201"/>
      <c r="AJ21" s="201"/>
      <c r="AK21" s="201"/>
      <c r="AL21" s="198"/>
      <c r="AM21" s="215"/>
      <c r="AN21" s="219"/>
      <c r="AO21" s="218"/>
      <c r="AP21" s="217"/>
      <c r="AQ21" s="218"/>
      <c r="AR21" s="218"/>
      <c r="AS21" s="251"/>
    </row>
    <row r="22" spans="1:46" ht="13.15" customHeight="1">
      <c r="A22" s="197"/>
      <c r="B22" s="198"/>
      <c r="C22" s="198"/>
      <c r="D22" s="201"/>
      <c r="E22" s="201"/>
      <c r="F22" s="201"/>
      <c r="G22" s="201"/>
      <c r="H22" s="201"/>
      <c r="I22" s="201"/>
      <c r="J22" s="201"/>
      <c r="K22" s="201"/>
      <c r="L22" s="201"/>
      <c r="M22" s="201"/>
      <c r="N22" s="201"/>
      <c r="O22" s="201"/>
      <c r="P22" s="201"/>
      <c r="Q22" s="201"/>
      <c r="R22" s="201"/>
      <c r="S22" s="199"/>
      <c r="T22" s="199"/>
      <c r="U22" s="201"/>
      <c r="V22" s="201"/>
      <c r="W22" s="201"/>
      <c r="X22" s="201"/>
      <c r="Y22" s="1122"/>
      <c r="Z22" s="1122"/>
      <c r="AA22" s="1122"/>
      <c r="AB22" s="201"/>
      <c r="AC22" s="201"/>
      <c r="AD22" s="201"/>
      <c r="AE22" s="201"/>
      <c r="AF22" s="201"/>
      <c r="AG22" s="201"/>
      <c r="AH22" s="201"/>
      <c r="AI22" s="201"/>
      <c r="AJ22" s="201"/>
      <c r="AK22" s="201"/>
      <c r="AL22" s="198"/>
      <c r="AM22" s="215"/>
      <c r="AN22" s="219"/>
      <c r="AO22" s="221"/>
      <c r="AP22" s="217"/>
      <c r="AQ22" s="222"/>
      <c r="AR22" s="218"/>
      <c r="AS22" s="251"/>
    </row>
    <row r="23" spans="1:46" ht="13.15" customHeight="1">
      <c r="A23" s="197"/>
      <c r="B23" s="198"/>
      <c r="C23" s="198"/>
      <c r="D23" s="201"/>
      <c r="E23" s="201"/>
      <c r="F23" s="201"/>
      <c r="G23" s="209"/>
      <c r="H23" s="201"/>
      <c r="I23" s="201"/>
      <c r="J23" s="201"/>
      <c r="K23" s="209"/>
      <c r="L23" s="201"/>
      <c r="M23" s="201"/>
      <c r="N23" s="201"/>
      <c r="O23" s="201"/>
      <c r="P23" s="201"/>
      <c r="Q23" s="201"/>
      <c r="R23" s="201"/>
      <c r="S23" s="199"/>
      <c r="T23" s="199"/>
      <c r="U23" s="201"/>
      <c r="V23" s="201"/>
      <c r="W23" s="209"/>
      <c r="X23" s="201"/>
      <c r="Y23" s="201"/>
      <c r="Z23" s="201"/>
      <c r="AA23" s="209"/>
      <c r="AB23" s="209"/>
      <c r="AC23" s="201"/>
      <c r="AD23" s="201"/>
      <c r="AE23" s="201"/>
      <c r="AF23" s="201"/>
      <c r="AG23" s="201"/>
      <c r="AH23" s="201"/>
      <c r="AI23" s="201"/>
      <c r="AJ23" s="201"/>
      <c r="AK23" s="201"/>
      <c r="AL23" s="198"/>
      <c r="AM23" s="215"/>
      <c r="AN23" s="219"/>
      <c r="AO23" s="221"/>
      <c r="AP23" s="217"/>
      <c r="AQ23" s="222"/>
      <c r="AR23" s="218"/>
      <c r="AS23" s="251"/>
    </row>
    <row r="24" spans="1:46" ht="13.15" customHeight="1">
      <c r="A24" s="197"/>
      <c r="B24" s="198"/>
      <c r="C24" s="198"/>
      <c r="D24" s="201"/>
      <c r="E24" s="201"/>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198"/>
      <c r="AM24" s="215"/>
      <c r="AN24" s="216"/>
      <c r="AO24" s="221"/>
      <c r="AP24" s="218"/>
      <c r="AQ24" s="218"/>
      <c r="AR24" s="218"/>
      <c r="AS24" s="251"/>
    </row>
    <row r="25" spans="1:46" ht="13.15" customHeight="1">
      <c r="A25" s="197"/>
      <c r="B25" s="198"/>
      <c r="C25" s="203"/>
      <c r="D25" s="199"/>
      <c r="E25" s="199"/>
      <c r="F25" s="199"/>
      <c r="G25" s="199"/>
      <c r="H25" s="199"/>
      <c r="I25" s="199"/>
      <c r="J25" s="199"/>
      <c r="K25" s="199"/>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199"/>
      <c r="AI25" s="201"/>
      <c r="AJ25" s="201"/>
      <c r="AK25" s="201"/>
      <c r="AL25" s="198"/>
      <c r="AM25" s="215"/>
      <c r="AN25" s="216"/>
      <c r="AO25" s="221"/>
      <c r="AP25" s="218"/>
      <c r="AQ25" s="218"/>
      <c r="AR25" s="218"/>
      <c r="AS25" s="251"/>
    </row>
    <row r="26" spans="1:46" ht="13.15" customHeight="1">
      <c r="A26" s="197"/>
      <c r="B26" s="203"/>
      <c r="C26" s="203"/>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201"/>
      <c r="AJ26" s="201"/>
      <c r="AK26" s="201"/>
      <c r="AL26" s="198"/>
      <c r="AM26" s="215"/>
      <c r="AN26" s="219"/>
      <c r="AO26" s="221"/>
      <c r="AP26" s="218"/>
      <c r="AQ26" s="218"/>
      <c r="AR26" s="218"/>
      <c r="AS26" s="251"/>
    </row>
    <row r="27" spans="1:46" ht="13.15" customHeight="1">
      <c r="A27" s="197"/>
      <c r="B27" s="203"/>
      <c r="C27" s="203"/>
      <c r="D27" s="199"/>
      <c r="E27" s="199"/>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201"/>
      <c r="AJ27" s="201"/>
      <c r="AK27" s="201"/>
      <c r="AL27" s="198"/>
      <c r="AM27" s="215"/>
      <c r="AN27" s="223"/>
      <c r="AO27" s="224"/>
      <c r="AP27" s="225"/>
      <c r="AQ27" s="222"/>
      <c r="AR27" s="224"/>
      <c r="AS27" s="252"/>
    </row>
    <row r="28" spans="1:46" ht="13.15" customHeight="1">
      <c r="A28" s="197"/>
      <c r="B28" s="203"/>
      <c r="C28" s="204"/>
      <c r="D28" s="199"/>
      <c r="E28" s="199"/>
      <c r="F28" s="199"/>
      <c r="G28" s="199"/>
      <c r="H28" s="199"/>
      <c r="I28" s="199"/>
      <c r="J28" s="199"/>
      <c r="K28" s="199"/>
      <c r="L28" s="199"/>
      <c r="M28" s="199"/>
      <c r="N28" s="199"/>
      <c r="O28" s="199"/>
      <c r="P28" s="199"/>
      <c r="Q28" s="199"/>
      <c r="R28" s="199"/>
      <c r="S28" s="199"/>
      <c r="T28" s="199"/>
      <c r="U28" s="205"/>
      <c r="V28" s="199"/>
      <c r="W28" s="199"/>
      <c r="X28" s="199"/>
      <c r="Y28" s="199"/>
      <c r="Z28" s="199"/>
      <c r="AA28" s="199"/>
      <c r="AB28" s="199"/>
      <c r="AC28" s="199"/>
      <c r="AD28" s="199"/>
      <c r="AE28" s="199"/>
      <c r="AF28" s="199"/>
      <c r="AG28" s="199"/>
      <c r="AH28" s="199"/>
      <c r="AI28" s="199"/>
      <c r="AJ28" s="199"/>
      <c r="AK28" s="199"/>
      <c r="AL28" s="198"/>
      <c r="AM28" s="215"/>
      <c r="AN28" s="216"/>
      <c r="AO28" s="217"/>
      <c r="AP28" s="218"/>
      <c r="AQ28" s="226"/>
      <c r="AR28" s="220"/>
      <c r="AS28" s="251"/>
    </row>
    <row r="29" spans="1:46" ht="13.15" customHeight="1">
      <c r="A29" s="197"/>
      <c r="B29" s="203"/>
      <c r="C29" s="203"/>
      <c r="D29" s="199"/>
      <c r="E29" s="199"/>
      <c r="F29" s="199"/>
      <c r="G29" s="199"/>
      <c r="H29" s="199"/>
      <c r="I29" s="199"/>
      <c r="J29" s="199"/>
      <c r="K29" s="199"/>
      <c r="L29" s="199"/>
      <c r="M29" s="199"/>
      <c r="N29" s="199"/>
      <c r="O29" s="199"/>
      <c r="P29" s="199"/>
      <c r="Q29" s="199"/>
      <c r="R29" s="199"/>
      <c r="S29" s="199"/>
      <c r="T29" s="199"/>
      <c r="U29" s="199"/>
      <c r="V29" s="199"/>
      <c r="W29" s="199"/>
      <c r="X29" s="199"/>
      <c r="Y29" s="199"/>
      <c r="Z29" s="199"/>
      <c r="AA29" s="199"/>
      <c r="AB29" s="199"/>
      <c r="AC29" s="199"/>
      <c r="AD29" s="199"/>
      <c r="AE29" s="199"/>
      <c r="AF29" s="199"/>
      <c r="AG29" s="199"/>
      <c r="AH29" s="199"/>
      <c r="AI29" s="199"/>
      <c r="AJ29" s="199"/>
      <c r="AK29" s="199"/>
      <c r="AL29" s="198"/>
      <c r="AM29" s="215"/>
      <c r="AN29" s="216"/>
      <c r="AO29" s="217"/>
      <c r="AP29" s="218"/>
      <c r="AQ29" s="226"/>
      <c r="AR29" s="218"/>
      <c r="AS29" s="251"/>
      <c r="AT29" s="193"/>
    </row>
    <row r="30" spans="1:46" s="195" customFormat="1" ht="13.15" customHeight="1">
      <c r="A30" s="197"/>
      <c r="B30" s="206"/>
      <c r="C30" s="203"/>
      <c r="D30" s="199"/>
      <c r="E30" s="199"/>
      <c r="F30" s="199"/>
      <c r="G30" s="199"/>
      <c r="H30" s="199"/>
      <c r="I30" s="199"/>
      <c r="J30" s="199"/>
      <c r="K30" s="199"/>
      <c r="L30" s="199"/>
      <c r="M30" s="207"/>
      <c r="N30" s="207"/>
      <c r="O30" s="207"/>
      <c r="P30" s="207"/>
      <c r="Q30" s="207"/>
      <c r="R30" s="207"/>
      <c r="S30" s="199"/>
      <c r="T30" s="202"/>
      <c r="U30" s="199"/>
      <c r="V30" s="199"/>
      <c r="W30" s="199"/>
      <c r="X30" s="199"/>
      <c r="Y30" s="199"/>
      <c r="Z30" s="207"/>
      <c r="AA30" s="207"/>
      <c r="AB30" s="207"/>
      <c r="AC30" s="207"/>
      <c r="AD30" s="199"/>
      <c r="AE30" s="199"/>
      <c r="AF30" s="199"/>
      <c r="AG30" s="199"/>
      <c r="AH30" s="199"/>
      <c r="AI30" s="199"/>
      <c r="AJ30" s="199"/>
      <c r="AK30" s="199"/>
      <c r="AL30" s="198"/>
      <c r="AM30" s="215"/>
      <c r="AN30" s="227"/>
      <c r="AO30" s="228"/>
      <c r="AP30" s="228"/>
      <c r="AQ30" s="229"/>
      <c r="AR30" s="230"/>
      <c r="AS30" s="253"/>
      <c r="AT30" s="194"/>
    </row>
    <row r="31" spans="1:46" ht="13.15" customHeight="1">
      <c r="A31" s="197"/>
      <c r="B31" s="206"/>
      <c r="C31" s="208"/>
      <c r="D31" s="209"/>
      <c r="E31" s="209"/>
      <c r="F31" s="209"/>
      <c r="G31" s="209"/>
      <c r="H31" s="209"/>
      <c r="I31" s="201"/>
      <c r="J31" s="201"/>
      <c r="K31" s="201"/>
      <c r="L31" s="201"/>
      <c r="M31" s="199"/>
      <c r="N31" s="199"/>
      <c r="O31" s="199"/>
      <c r="P31" s="199"/>
      <c r="Q31" s="199"/>
      <c r="R31" s="199"/>
      <c r="S31" s="201"/>
      <c r="T31" s="202"/>
      <c r="U31" s="209"/>
      <c r="V31" s="209"/>
      <c r="W31" s="209"/>
      <c r="X31" s="209"/>
      <c r="Y31" s="209"/>
      <c r="Z31" s="199"/>
      <c r="AA31" s="199"/>
      <c r="AB31" s="199"/>
      <c r="AC31" s="199"/>
      <c r="AD31" s="199"/>
      <c r="AE31" s="199"/>
      <c r="AF31" s="201"/>
      <c r="AG31" s="201"/>
      <c r="AH31" s="201"/>
      <c r="AI31" s="201"/>
      <c r="AJ31" s="201"/>
      <c r="AK31" s="201"/>
      <c r="AL31" s="198"/>
      <c r="AM31" s="215"/>
      <c r="AN31" s="216"/>
      <c r="AO31" s="218"/>
      <c r="AP31" s="218"/>
      <c r="AQ31" s="226"/>
      <c r="AR31" s="220"/>
      <c r="AS31" s="251"/>
    </row>
    <row r="32" spans="1:46" ht="13.15" customHeight="1">
      <c r="A32" s="197"/>
      <c r="B32" s="206"/>
      <c r="C32" s="208"/>
      <c r="D32" s="209"/>
      <c r="E32" s="209"/>
      <c r="F32" s="209"/>
      <c r="G32" s="209"/>
      <c r="H32" s="209"/>
      <c r="I32" s="201"/>
      <c r="J32" s="199"/>
      <c r="K32" s="199"/>
      <c r="L32" s="201"/>
      <c r="M32" s="199"/>
      <c r="N32" s="199"/>
      <c r="O32" s="199"/>
      <c r="P32" s="199"/>
      <c r="Q32" s="199"/>
      <c r="R32" s="199"/>
      <c r="S32" s="201"/>
      <c r="T32" s="202"/>
      <c r="U32" s="209"/>
      <c r="V32" s="209"/>
      <c r="W32" s="209"/>
      <c r="X32" s="209"/>
      <c r="Y32" s="209"/>
      <c r="Z32" s="199"/>
      <c r="AA32" s="199"/>
      <c r="AB32" s="199"/>
      <c r="AC32" s="199"/>
      <c r="AD32" s="199"/>
      <c r="AE32" s="199"/>
      <c r="AF32" s="201"/>
      <c r="AG32" s="199"/>
      <c r="AH32" s="199"/>
      <c r="AI32" s="201"/>
      <c r="AJ32" s="201"/>
      <c r="AK32" s="201"/>
      <c r="AL32" s="198"/>
      <c r="AM32" s="215"/>
      <c r="AN32" s="216"/>
      <c r="AO32" s="218"/>
      <c r="AP32" s="218"/>
      <c r="AQ32" s="226"/>
      <c r="AR32" s="220"/>
      <c r="AS32" s="251"/>
    </row>
    <row r="33" spans="1:45" ht="13.15" customHeight="1">
      <c r="A33" s="197"/>
      <c r="B33" s="206"/>
      <c r="C33" s="208"/>
      <c r="D33" s="209"/>
      <c r="E33" s="209"/>
      <c r="F33" s="209"/>
      <c r="G33" s="209"/>
      <c r="H33" s="209"/>
      <c r="I33" s="201"/>
      <c r="J33" s="199"/>
      <c r="K33" s="199"/>
      <c r="L33" s="201"/>
      <c r="M33" s="199"/>
      <c r="N33" s="199"/>
      <c r="O33" s="199"/>
      <c r="P33" s="199"/>
      <c r="Q33" s="199"/>
      <c r="R33" s="199"/>
      <c r="S33" s="201"/>
      <c r="T33" s="202"/>
      <c r="U33" s="209"/>
      <c r="V33" s="209"/>
      <c r="W33" s="209"/>
      <c r="X33" s="209"/>
      <c r="Y33" s="209"/>
      <c r="Z33" s="199"/>
      <c r="AA33" s="199"/>
      <c r="AB33" s="199"/>
      <c r="AC33" s="199"/>
      <c r="AD33" s="274"/>
      <c r="AE33" s="274"/>
      <c r="AF33" s="201"/>
      <c r="AG33" s="199"/>
      <c r="AH33" s="199"/>
      <c r="AI33" s="201"/>
      <c r="AJ33" s="201"/>
      <c r="AK33" s="201"/>
      <c r="AL33" s="198"/>
      <c r="AM33" s="215"/>
      <c r="AN33" s="216"/>
      <c r="AO33" s="218"/>
      <c r="AP33" s="218"/>
      <c r="AQ33" s="226"/>
      <c r="AR33" s="220"/>
      <c r="AS33" s="251"/>
    </row>
    <row r="34" spans="1:45" ht="13.15" customHeight="1">
      <c r="A34" s="197"/>
      <c r="B34" s="208"/>
      <c r="C34" s="208"/>
      <c r="D34" s="209"/>
      <c r="E34" s="209"/>
      <c r="F34" s="209"/>
      <c r="G34" s="209"/>
      <c r="H34" s="209"/>
      <c r="I34" s="201"/>
      <c r="J34" s="201"/>
      <c r="K34" s="201"/>
      <c r="L34" s="201"/>
      <c r="M34" s="199"/>
      <c r="N34" s="199"/>
      <c r="O34" s="199"/>
      <c r="P34" s="199"/>
      <c r="Q34" s="199"/>
      <c r="R34" s="199"/>
      <c r="S34" s="201"/>
      <c r="T34" s="209"/>
      <c r="U34" s="209"/>
      <c r="V34" s="209"/>
      <c r="W34" s="209"/>
      <c r="X34" s="209"/>
      <c r="Y34" s="209"/>
      <c r="Z34" s="201"/>
      <c r="AA34" s="201"/>
      <c r="AB34" s="201"/>
      <c r="AC34" s="201"/>
      <c r="AD34" s="274"/>
      <c r="AE34" s="274"/>
      <c r="AF34" s="201"/>
      <c r="AG34" s="201"/>
      <c r="AH34" s="201"/>
      <c r="AI34" s="201"/>
      <c r="AJ34" s="201"/>
      <c r="AK34" s="201"/>
      <c r="AL34" s="198"/>
      <c r="AM34" s="215"/>
      <c r="AN34" s="216"/>
      <c r="AO34" s="218"/>
      <c r="AP34" s="218"/>
      <c r="AQ34" s="226"/>
      <c r="AR34" s="220"/>
      <c r="AS34" s="251"/>
    </row>
    <row r="35" spans="1:45" ht="13.15" customHeight="1">
      <c r="A35" s="197"/>
      <c r="B35" s="208"/>
      <c r="C35" s="208"/>
      <c r="D35" s="274"/>
      <c r="E35" s="274"/>
      <c r="F35" s="274"/>
      <c r="G35" s="274"/>
      <c r="H35" s="274"/>
      <c r="I35" s="201"/>
      <c r="J35" s="201"/>
      <c r="K35" s="201"/>
      <c r="L35" s="201"/>
      <c r="M35" s="199"/>
      <c r="N35" s="199"/>
      <c r="O35" s="199"/>
      <c r="P35" s="199"/>
      <c r="Q35" s="199"/>
      <c r="R35" s="199"/>
      <c r="S35" s="201"/>
      <c r="T35" s="274"/>
      <c r="U35" s="274"/>
      <c r="V35" s="274"/>
      <c r="W35" s="274"/>
      <c r="X35" s="274"/>
      <c r="Y35" s="274"/>
      <c r="Z35" s="201"/>
      <c r="AA35" s="201"/>
      <c r="AB35" s="201"/>
      <c r="AC35" s="201"/>
      <c r="AD35" s="274"/>
      <c r="AE35" s="274"/>
      <c r="AF35" s="201"/>
      <c r="AG35" s="201"/>
      <c r="AH35" s="201"/>
      <c r="AI35" s="201"/>
      <c r="AJ35" s="201"/>
      <c r="AK35" s="201"/>
      <c r="AL35" s="198"/>
      <c r="AM35" s="215"/>
      <c r="AN35" s="216"/>
      <c r="AO35" s="218"/>
      <c r="AP35" s="218"/>
      <c r="AQ35" s="226"/>
      <c r="AR35" s="220"/>
      <c r="AS35" s="251"/>
    </row>
    <row r="36" spans="1:45" ht="13.15" customHeight="1">
      <c r="A36" s="197"/>
      <c r="B36" s="208"/>
      <c r="C36" s="208"/>
      <c r="D36" s="274"/>
      <c r="E36" s="274"/>
      <c r="F36" s="274"/>
      <c r="G36" s="274"/>
      <c r="H36" s="274"/>
      <c r="I36" s="201"/>
      <c r="J36" s="201"/>
      <c r="K36" s="201"/>
      <c r="L36" s="201"/>
      <c r="M36" s="199"/>
      <c r="N36" s="199"/>
      <c r="O36" s="199"/>
      <c r="P36" s="199"/>
      <c r="Q36" s="199"/>
      <c r="R36" s="199"/>
      <c r="S36" s="201"/>
      <c r="T36" s="274"/>
      <c r="U36" s="274"/>
      <c r="V36" s="274"/>
      <c r="W36" s="274"/>
      <c r="X36" s="274"/>
      <c r="Y36" s="274"/>
      <c r="Z36" s="201"/>
      <c r="AA36" s="201"/>
      <c r="AB36" s="201"/>
      <c r="AC36" s="201"/>
      <c r="AD36" s="274"/>
      <c r="AE36" s="274"/>
      <c r="AF36" s="201"/>
      <c r="AG36" s="201"/>
      <c r="AH36" s="201"/>
      <c r="AI36" s="201"/>
      <c r="AJ36" s="201"/>
      <c r="AK36" s="201"/>
      <c r="AL36" s="198"/>
      <c r="AM36" s="215"/>
      <c r="AN36" s="216"/>
      <c r="AO36" s="218"/>
      <c r="AP36" s="218"/>
      <c r="AQ36" s="226"/>
      <c r="AR36" s="220"/>
      <c r="AS36" s="251"/>
    </row>
    <row r="37" spans="1:45" ht="13.15" customHeight="1">
      <c r="A37" s="197"/>
      <c r="B37" s="208"/>
      <c r="C37" s="208"/>
      <c r="D37" s="274"/>
      <c r="E37" s="274"/>
      <c r="F37" s="274"/>
      <c r="G37" s="274"/>
      <c r="H37" s="274"/>
      <c r="I37" s="201"/>
      <c r="J37" s="201"/>
      <c r="K37" s="201"/>
      <c r="L37" s="201"/>
      <c r="M37" s="199"/>
      <c r="N37" s="199"/>
      <c r="O37" s="199"/>
      <c r="P37" s="199"/>
      <c r="Q37" s="199"/>
      <c r="R37" s="199"/>
      <c r="S37" s="201"/>
      <c r="T37" s="274"/>
      <c r="U37" s="274"/>
      <c r="V37" s="274"/>
      <c r="W37" s="274"/>
      <c r="X37" s="274"/>
      <c r="Y37" s="274"/>
      <c r="Z37" s="201"/>
      <c r="AA37" s="201"/>
      <c r="AB37" s="201"/>
      <c r="AC37" s="201"/>
      <c r="AD37" s="274"/>
      <c r="AE37" s="274"/>
      <c r="AF37" s="201"/>
      <c r="AG37" s="201"/>
      <c r="AH37" s="201"/>
      <c r="AI37" s="201"/>
      <c r="AJ37" s="201"/>
      <c r="AK37" s="201"/>
      <c r="AL37" s="198"/>
      <c r="AM37" s="215"/>
      <c r="AN37" s="216"/>
      <c r="AO37" s="218"/>
      <c r="AP37" s="218"/>
      <c r="AQ37" s="226"/>
      <c r="AR37" s="220"/>
      <c r="AS37" s="251"/>
    </row>
    <row r="38" spans="1:45" ht="13.15" customHeight="1">
      <c r="A38" s="197"/>
      <c r="B38" s="208"/>
      <c r="C38" s="208"/>
      <c r="D38" s="274"/>
      <c r="E38" s="274"/>
      <c r="F38" s="274"/>
      <c r="G38" s="274"/>
      <c r="H38" s="274"/>
      <c r="I38" s="201"/>
      <c r="J38" s="201"/>
      <c r="K38" s="201"/>
      <c r="L38" s="201"/>
      <c r="M38" s="199"/>
      <c r="N38" s="199"/>
      <c r="O38" s="199"/>
      <c r="P38" s="199"/>
      <c r="Q38" s="199"/>
      <c r="R38" s="199"/>
      <c r="S38" s="201"/>
      <c r="T38" s="274"/>
      <c r="U38" s="274"/>
      <c r="V38" s="274"/>
      <c r="W38" s="274"/>
      <c r="X38" s="274"/>
      <c r="Y38" s="274"/>
      <c r="Z38" s="201"/>
      <c r="AA38" s="201"/>
      <c r="AB38" s="201"/>
      <c r="AC38" s="201"/>
      <c r="AD38" s="274"/>
      <c r="AE38" s="274"/>
      <c r="AF38" s="201"/>
      <c r="AG38" s="201"/>
      <c r="AH38" s="201"/>
      <c r="AI38" s="201"/>
      <c r="AJ38" s="201"/>
      <c r="AK38" s="201"/>
      <c r="AL38" s="198"/>
      <c r="AM38" s="215"/>
      <c r="AN38" s="216"/>
      <c r="AO38" s="218"/>
      <c r="AP38" s="218"/>
      <c r="AQ38" s="226"/>
      <c r="AR38" s="220"/>
      <c r="AS38" s="251"/>
    </row>
    <row r="39" spans="1:45" ht="13.15" customHeight="1">
      <c r="A39" s="197"/>
      <c r="B39" s="208"/>
      <c r="C39" s="208"/>
      <c r="D39" s="274"/>
      <c r="E39" s="274"/>
      <c r="F39" s="274"/>
      <c r="G39" s="274"/>
      <c r="H39" s="274"/>
      <c r="I39" s="201"/>
      <c r="J39" s="201"/>
      <c r="K39" s="201"/>
      <c r="L39" s="201"/>
      <c r="M39" s="199"/>
      <c r="N39" s="199"/>
      <c r="O39" s="199"/>
      <c r="P39" s="199"/>
      <c r="Q39" s="199"/>
      <c r="R39" s="199"/>
      <c r="S39" s="201"/>
      <c r="T39" s="274"/>
      <c r="U39" s="274"/>
      <c r="V39" s="274"/>
      <c r="W39" s="274"/>
      <c r="X39" s="274"/>
      <c r="Y39" s="274"/>
      <c r="Z39" s="201"/>
      <c r="AA39" s="201"/>
      <c r="AB39" s="201"/>
      <c r="AC39" s="201"/>
      <c r="AD39" s="274"/>
      <c r="AE39" s="274"/>
      <c r="AF39" s="201"/>
      <c r="AG39" s="201"/>
      <c r="AH39" s="201"/>
      <c r="AI39" s="201"/>
      <c r="AJ39" s="201"/>
      <c r="AK39" s="201"/>
      <c r="AL39" s="198"/>
      <c r="AM39" s="215"/>
      <c r="AN39" s="216"/>
      <c r="AO39" s="218"/>
      <c r="AP39" s="218"/>
      <c r="AQ39" s="226"/>
      <c r="AR39" s="220"/>
      <c r="AS39" s="251"/>
    </row>
    <row r="40" spans="1:45" ht="13.15" customHeight="1">
      <c r="A40" s="197"/>
      <c r="B40" s="208"/>
      <c r="C40" s="208"/>
      <c r="D40" s="325"/>
      <c r="E40" s="325"/>
      <c r="F40" s="325"/>
      <c r="G40" s="325"/>
      <c r="H40" s="325"/>
      <c r="I40" s="201"/>
      <c r="J40" s="201"/>
      <c r="K40" s="201"/>
      <c r="L40" s="201"/>
      <c r="M40" s="199"/>
      <c r="N40" s="199"/>
      <c r="O40" s="199"/>
      <c r="P40" s="199"/>
      <c r="Q40" s="199"/>
      <c r="R40" s="199"/>
      <c r="S40" s="201"/>
      <c r="T40" s="325"/>
      <c r="U40" s="325"/>
      <c r="V40" s="325"/>
      <c r="W40" s="325"/>
      <c r="X40" s="325"/>
      <c r="Y40" s="325"/>
      <c r="Z40" s="201"/>
      <c r="AA40" s="201"/>
      <c r="AB40" s="201"/>
      <c r="AC40" s="201"/>
      <c r="AD40" s="325"/>
      <c r="AE40" s="325"/>
      <c r="AF40" s="201"/>
      <c r="AG40" s="201"/>
      <c r="AH40" s="201"/>
      <c r="AI40" s="201"/>
      <c r="AJ40" s="201"/>
      <c r="AK40" s="201"/>
      <c r="AL40" s="198"/>
      <c r="AM40" s="215"/>
      <c r="AN40" s="324"/>
      <c r="AO40" s="218"/>
      <c r="AP40" s="218"/>
      <c r="AQ40" s="226"/>
      <c r="AR40" s="220"/>
      <c r="AS40" s="251"/>
    </row>
    <row r="41" spans="1:45" ht="13.15" customHeight="1">
      <c r="A41" s="197"/>
      <c r="B41" s="208"/>
      <c r="C41" s="208"/>
      <c r="D41" s="325"/>
      <c r="E41" s="325"/>
      <c r="F41" s="325"/>
      <c r="G41" s="325"/>
      <c r="H41" s="325"/>
      <c r="I41" s="201"/>
      <c r="J41" s="201"/>
      <c r="K41" s="201"/>
      <c r="L41" s="201"/>
      <c r="M41" s="199"/>
      <c r="N41" s="199"/>
      <c r="O41" s="199"/>
      <c r="P41" s="199"/>
      <c r="Q41" s="199"/>
      <c r="R41" s="199"/>
      <c r="S41" s="201"/>
      <c r="T41" s="325"/>
      <c r="U41" s="325"/>
      <c r="V41" s="325"/>
      <c r="W41" s="325"/>
      <c r="X41" s="325"/>
      <c r="Y41" s="325"/>
      <c r="Z41" s="201"/>
      <c r="AA41" s="201"/>
      <c r="AB41" s="201"/>
      <c r="AC41" s="201"/>
      <c r="AD41" s="325"/>
      <c r="AE41" s="325"/>
      <c r="AF41" s="201"/>
      <c r="AG41" s="201"/>
      <c r="AH41" s="201"/>
      <c r="AI41" s="201"/>
      <c r="AJ41" s="201"/>
      <c r="AK41" s="201"/>
      <c r="AL41" s="198"/>
      <c r="AM41" s="215"/>
      <c r="AN41" s="324"/>
      <c r="AO41" s="218"/>
      <c r="AP41" s="218"/>
      <c r="AQ41" s="226"/>
      <c r="AR41" s="220"/>
      <c r="AS41" s="251"/>
    </row>
    <row r="42" spans="1:45" ht="13.15" customHeight="1">
      <c r="A42" s="197"/>
      <c r="B42" s="208"/>
      <c r="C42" s="208"/>
      <c r="D42" s="274"/>
      <c r="E42" s="274"/>
      <c r="F42" s="274"/>
      <c r="G42" s="274"/>
      <c r="H42" s="274"/>
      <c r="I42" s="201"/>
      <c r="J42" s="201"/>
      <c r="K42" s="201"/>
      <c r="L42" s="201"/>
      <c r="M42" s="199"/>
      <c r="N42" s="199"/>
      <c r="O42" s="199"/>
      <c r="P42" s="199"/>
      <c r="Q42" s="199"/>
      <c r="R42" s="199"/>
      <c r="S42" s="201"/>
      <c r="T42" s="274"/>
      <c r="U42" s="274"/>
      <c r="V42" s="274"/>
      <c r="W42" s="274"/>
      <c r="X42" s="274"/>
      <c r="Y42" s="274"/>
      <c r="Z42" s="201"/>
      <c r="AA42" s="201"/>
      <c r="AB42" s="201"/>
      <c r="AC42" s="201"/>
      <c r="AD42" s="274"/>
      <c r="AE42" s="274"/>
      <c r="AF42" s="201"/>
      <c r="AG42" s="201"/>
      <c r="AH42" s="201"/>
      <c r="AI42" s="201"/>
      <c r="AJ42" s="201"/>
      <c r="AK42" s="201"/>
      <c r="AL42" s="198"/>
      <c r="AM42" s="215"/>
      <c r="AN42" s="216"/>
      <c r="AO42" s="218"/>
      <c r="AP42" s="218"/>
      <c r="AQ42" s="226"/>
      <c r="AR42" s="220"/>
      <c r="AS42" s="251"/>
    </row>
    <row r="43" spans="1:45" ht="13.15" customHeight="1">
      <c r="A43" s="197"/>
      <c r="B43" s="208"/>
      <c r="C43" s="208"/>
      <c r="D43" s="274"/>
      <c r="E43" s="274"/>
      <c r="F43" s="274"/>
      <c r="G43" s="274"/>
      <c r="H43" s="274"/>
      <c r="I43" s="201"/>
      <c r="J43" s="201"/>
      <c r="K43" s="201"/>
      <c r="L43" s="201"/>
      <c r="M43" s="199"/>
      <c r="N43" s="199"/>
      <c r="O43" s="199"/>
      <c r="P43" s="199"/>
      <c r="Q43" s="199"/>
      <c r="R43" s="199"/>
      <c r="S43" s="201"/>
      <c r="T43" s="274"/>
      <c r="U43" s="274"/>
      <c r="V43" s="274"/>
      <c r="W43" s="274"/>
      <c r="X43" s="274"/>
      <c r="Y43" s="274"/>
      <c r="Z43" s="201"/>
      <c r="AA43" s="201"/>
      <c r="AB43" s="201"/>
      <c r="AC43" s="201"/>
      <c r="AD43" s="274"/>
      <c r="AE43" s="274"/>
      <c r="AF43" s="201"/>
      <c r="AG43" s="201"/>
      <c r="AH43" s="201"/>
      <c r="AI43" s="201"/>
      <c r="AJ43" s="201"/>
      <c r="AK43" s="201"/>
      <c r="AL43" s="198"/>
      <c r="AM43" s="215"/>
      <c r="AN43" s="216"/>
      <c r="AO43" s="218"/>
      <c r="AP43" s="218"/>
      <c r="AQ43" s="226"/>
      <c r="AR43" s="220"/>
      <c r="AS43" s="251"/>
    </row>
    <row r="44" spans="1:45" ht="13.15" customHeight="1">
      <c r="A44" s="197"/>
      <c r="B44" s="208"/>
      <c r="C44" s="208"/>
      <c r="D44" s="274"/>
      <c r="E44" s="274"/>
      <c r="F44" s="274"/>
      <c r="G44" s="274"/>
      <c r="H44" s="274"/>
      <c r="I44" s="201"/>
      <c r="J44" s="201"/>
      <c r="K44" s="201"/>
      <c r="L44" s="201"/>
      <c r="M44" s="199"/>
      <c r="N44" s="199"/>
      <c r="O44" s="199"/>
      <c r="P44" s="199"/>
      <c r="Q44" s="199"/>
      <c r="R44" s="199"/>
      <c r="S44" s="201"/>
      <c r="T44" s="274"/>
      <c r="U44" s="274"/>
      <c r="V44" s="274"/>
      <c r="W44" s="274"/>
      <c r="X44" s="274"/>
      <c r="Y44" s="274"/>
      <c r="Z44" s="201"/>
      <c r="AA44" s="201"/>
      <c r="AB44" s="201"/>
      <c r="AC44" s="201"/>
      <c r="AD44" s="274"/>
      <c r="AE44" s="274"/>
      <c r="AF44" s="201"/>
      <c r="AG44" s="201"/>
      <c r="AH44" s="201"/>
      <c r="AI44" s="201"/>
      <c r="AJ44" s="201"/>
      <c r="AK44" s="201"/>
      <c r="AL44" s="198"/>
      <c r="AM44" s="215"/>
      <c r="AN44" s="216"/>
      <c r="AO44" s="218"/>
      <c r="AP44" s="218"/>
      <c r="AQ44" s="226"/>
      <c r="AR44" s="220"/>
      <c r="AS44" s="251"/>
    </row>
    <row r="45" spans="1:45" ht="13.15" customHeight="1">
      <c r="A45" s="197"/>
      <c r="B45" s="208"/>
      <c r="C45" s="208"/>
      <c r="D45" s="274"/>
      <c r="E45" s="274"/>
      <c r="F45" s="274"/>
      <c r="G45" s="274"/>
      <c r="H45" s="274"/>
      <c r="I45" s="201"/>
      <c r="J45" s="201"/>
      <c r="K45" s="201"/>
      <c r="L45" s="201"/>
      <c r="M45" s="199"/>
      <c r="N45" s="199"/>
      <c r="O45" s="199"/>
      <c r="P45" s="199"/>
      <c r="Q45" s="199"/>
      <c r="R45" s="199"/>
      <c r="S45" s="201"/>
      <c r="T45" s="274"/>
      <c r="U45" s="274"/>
      <c r="V45" s="274"/>
      <c r="W45" s="274"/>
      <c r="X45" s="274"/>
      <c r="Y45" s="274"/>
      <c r="Z45" s="201"/>
      <c r="AA45" s="201"/>
      <c r="AB45" s="201"/>
      <c r="AC45" s="201"/>
      <c r="AD45" s="274"/>
      <c r="AE45" s="274"/>
      <c r="AF45" s="201"/>
      <c r="AG45" s="201"/>
      <c r="AH45" s="201"/>
      <c r="AI45" s="201"/>
      <c r="AJ45" s="201"/>
      <c r="AK45" s="201"/>
      <c r="AL45" s="198"/>
      <c r="AM45" s="215"/>
      <c r="AN45" s="216"/>
      <c r="AO45" s="218"/>
      <c r="AP45" s="218"/>
      <c r="AQ45" s="226"/>
      <c r="AR45" s="220"/>
      <c r="AS45" s="251"/>
    </row>
    <row r="46" spans="1:45" ht="13.15" customHeight="1">
      <c r="A46" s="197"/>
      <c r="B46" s="208"/>
      <c r="C46" s="208"/>
      <c r="D46" s="274"/>
      <c r="E46" s="274"/>
      <c r="F46" s="274"/>
      <c r="G46" s="274"/>
      <c r="H46" s="274"/>
      <c r="I46" s="201"/>
      <c r="J46" s="201"/>
      <c r="K46" s="201"/>
      <c r="L46" s="201"/>
      <c r="M46" s="199"/>
      <c r="N46" s="199"/>
      <c r="O46" s="199"/>
      <c r="P46" s="199"/>
      <c r="Q46" s="199"/>
      <c r="R46" s="199"/>
      <c r="S46" s="201"/>
      <c r="T46" s="274"/>
      <c r="U46" s="274"/>
      <c r="V46" s="274"/>
      <c r="W46" s="274"/>
      <c r="X46" s="274"/>
      <c r="Y46" s="274"/>
      <c r="Z46" s="201"/>
      <c r="AA46" s="201"/>
      <c r="AB46" s="201"/>
      <c r="AC46" s="201"/>
      <c r="AD46" s="274"/>
      <c r="AE46" s="274"/>
      <c r="AF46" s="201"/>
      <c r="AG46" s="201"/>
      <c r="AH46" s="201"/>
      <c r="AI46" s="201"/>
      <c r="AJ46" s="201"/>
      <c r="AK46" s="201"/>
      <c r="AL46" s="198"/>
      <c r="AM46" s="215"/>
      <c r="AN46" s="216"/>
      <c r="AO46" s="218"/>
      <c r="AP46" s="218"/>
      <c r="AQ46" s="226"/>
      <c r="AR46" s="220"/>
      <c r="AS46" s="251"/>
    </row>
    <row r="47" spans="1:45" ht="13.15" customHeight="1">
      <c r="A47" s="197"/>
      <c r="B47" s="208"/>
      <c r="C47" s="208"/>
      <c r="D47" s="274"/>
      <c r="E47" s="274"/>
      <c r="F47" s="274"/>
      <c r="G47" s="274"/>
      <c r="H47" s="274"/>
      <c r="I47" s="201"/>
      <c r="J47" s="201"/>
      <c r="K47" s="201"/>
      <c r="L47" s="201"/>
      <c r="M47" s="199"/>
      <c r="N47" s="199"/>
      <c r="O47" s="199"/>
      <c r="P47" s="199"/>
      <c r="Q47" s="199"/>
      <c r="R47" s="199"/>
      <c r="S47" s="201"/>
      <c r="T47" s="274"/>
      <c r="U47" s="274"/>
      <c r="V47" s="274"/>
      <c r="W47" s="274"/>
      <c r="X47" s="274"/>
      <c r="Y47" s="274"/>
      <c r="Z47" s="201"/>
      <c r="AA47" s="201"/>
      <c r="AB47" s="201"/>
      <c r="AC47" s="201"/>
      <c r="AD47" s="274"/>
      <c r="AE47" s="274"/>
      <c r="AF47" s="201"/>
      <c r="AG47" s="201"/>
      <c r="AH47" s="201"/>
      <c r="AI47" s="201"/>
      <c r="AJ47" s="201"/>
      <c r="AK47" s="201"/>
      <c r="AL47" s="198"/>
      <c r="AM47" s="215"/>
      <c r="AN47" s="216"/>
      <c r="AO47" s="218"/>
      <c r="AP47" s="218"/>
      <c r="AQ47" s="226"/>
      <c r="AR47" s="220"/>
      <c r="AS47" s="251"/>
    </row>
    <row r="48" spans="1:45" ht="13.15" customHeight="1">
      <c r="A48" s="197"/>
      <c r="B48" s="208"/>
      <c r="C48" s="208"/>
      <c r="D48" s="274"/>
      <c r="E48" s="274"/>
      <c r="F48" s="274"/>
      <c r="G48" s="274"/>
      <c r="H48" s="274"/>
      <c r="I48" s="201"/>
      <c r="J48" s="201"/>
      <c r="K48" s="201"/>
      <c r="L48" s="201"/>
      <c r="M48" s="199"/>
      <c r="N48" s="199"/>
      <c r="O48" s="199"/>
      <c r="P48" s="199"/>
      <c r="Q48" s="199"/>
      <c r="R48" s="199"/>
      <c r="S48" s="201"/>
      <c r="T48" s="274"/>
      <c r="U48" s="274"/>
      <c r="V48" s="274"/>
      <c r="W48" s="274"/>
      <c r="X48" s="274"/>
      <c r="Y48" s="274"/>
      <c r="Z48" s="201"/>
      <c r="AA48" s="201"/>
      <c r="AB48" s="201"/>
      <c r="AC48" s="201"/>
      <c r="AD48" s="274"/>
      <c r="AE48" s="274"/>
      <c r="AF48" s="201"/>
      <c r="AG48" s="201"/>
      <c r="AH48" s="201"/>
      <c r="AI48" s="201"/>
      <c r="AJ48" s="201"/>
      <c r="AK48" s="201"/>
      <c r="AL48" s="198"/>
      <c r="AM48" s="215"/>
      <c r="AN48" s="216"/>
      <c r="AO48" s="218"/>
      <c r="AP48" s="218"/>
      <c r="AQ48" s="226"/>
      <c r="AR48" s="220"/>
      <c r="AS48" s="251"/>
    </row>
    <row r="49" spans="1:45" ht="13.15" customHeight="1">
      <c r="A49" s="197"/>
      <c r="B49" s="198"/>
      <c r="C49" s="198"/>
      <c r="D49" s="198"/>
      <c r="E49" s="198"/>
      <c r="F49" s="198"/>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215"/>
      <c r="AN49" s="216"/>
      <c r="AO49" s="218"/>
      <c r="AP49" s="218"/>
      <c r="AQ49" s="216"/>
      <c r="AR49" s="220"/>
      <c r="AS49" s="251"/>
    </row>
    <row r="50" spans="1:45" ht="13.15" customHeight="1">
      <c r="A50" s="231"/>
      <c r="B50" s="232"/>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3"/>
      <c r="AN50" s="234"/>
      <c r="AO50" s="235"/>
      <c r="AP50" s="234"/>
      <c r="AQ50" s="234"/>
      <c r="AR50" s="236"/>
      <c r="AS50" s="251"/>
    </row>
    <row r="51" spans="1:45" ht="15" customHeight="1">
      <c r="A51" s="1089" t="s">
        <v>355</v>
      </c>
      <c r="B51" s="1090"/>
      <c r="C51" s="1090"/>
      <c r="D51" s="1090"/>
      <c r="E51" s="1090"/>
      <c r="F51" s="1090"/>
      <c r="G51" s="1090"/>
      <c r="H51" s="1090"/>
      <c r="I51" s="1090"/>
      <c r="J51" s="1090"/>
      <c r="K51" s="1090"/>
      <c r="L51" s="1090"/>
      <c r="M51" s="1090"/>
      <c r="N51" s="1090"/>
      <c r="O51" s="1090"/>
      <c r="P51" s="1090"/>
      <c r="Q51" s="1090"/>
      <c r="R51" s="1090"/>
      <c r="S51" s="1090"/>
      <c r="T51" s="1090"/>
      <c r="U51" s="1090"/>
      <c r="V51" s="1090"/>
      <c r="W51" s="1090"/>
      <c r="X51" s="1090"/>
      <c r="Y51" s="1090"/>
      <c r="Z51" s="1090"/>
      <c r="AA51" s="1090"/>
      <c r="AB51" s="1090"/>
      <c r="AC51" s="1090"/>
      <c r="AD51" s="1090"/>
      <c r="AE51" s="1090"/>
      <c r="AF51" s="1090"/>
      <c r="AG51" s="1090"/>
      <c r="AH51" s="1090"/>
      <c r="AI51" s="1090"/>
      <c r="AJ51" s="1090"/>
      <c r="AK51" s="1090"/>
      <c r="AL51" s="1090"/>
      <c r="AM51" s="1090"/>
      <c r="AN51" s="1091" t="s">
        <v>356</v>
      </c>
      <c r="AO51" s="1092"/>
      <c r="AP51" s="1092"/>
      <c r="AQ51" s="1092"/>
      <c r="AR51" s="1092"/>
      <c r="AS51" s="252">
        <f>SUM(AS16:AS50)</f>
        <v>0</v>
      </c>
    </row>
    <row r="52" spans="1:45" ht="15.6" customHeight="1">
      <c r="A52" s="1089"/>
      <c r="B52" s="1090"/>
      <c r="C52" s="1090"/>
      <c r="D52" s="1090"/>
      <c r="E52" s="1090"/>
      <c r="F52" s="1090"/>
      <c r="G52" s="1090"/>
      <c r="H52" s="1090"/>
      <c r="I52" s="1090"/>
      <c r="J52" s="1090"/>
      <c r="K52" s="1090"/>
      <c r="L52" s="1090"/>
      <c r="M52" s="1090"/>
      <c r="N52" s="1090"/>
      <c r="O52" s="1090"/>
      <c r="P52" s="1090"/>
      <c r="Q52" s="1090"/>
      <c r="R52" s="1090"/>
      <c r="S52" s="1090"/>
      <c r="T52" s="1090"/>
      <c r="U52" s="1090"/>
      <c r="V52" s="1090"/>
      <c r="W52" s="1090"/>
      <c r="X52" s="1090"/>
      <c r="Y52" s="1090"/>
      <c r="Z52" s="1090"/>
      <c r="AA52" s="1090"/>
      <c r="AB52" s="1090"/>
      <c r="AC52" s="1090"/>
      <c r="AD52" s="1090"/>
      <c r="AE52" s="1090"/>
      <c r="AF52" s="1090"/>
      <c r="AG52" s="1090"/>
      <c r="AH52" s="1090"/>
      <c r="AI52" s="1090"/>
      <c r="AJ52" s="1090"/>
      <c r="AK52" s="1090"/>
      <c r="AL52" s="1090"/>
      <c r="AM52" s="1090"/>
      <c r="AN52" s="1093" t="s">
        <v>357</v>
      </c>
      <c r="AO52" s="1092"/>
      <c r="AP52" s="1092"/>
      <c r="AQ52" s="1092"/>
      <c r="AR52" s="1092"/>
      <c r="AS52" s="252"/>
    </row>
    <row r="53" spans="1:45" ht="17.45" customHeight="1">
      <c r="A53" s="1089"/>
      <c r="B53" s="1090"/>
      <c r="C53" s="1090"/>
      <c r="D53" s="1090"/>
      <c r="E53" s="1090"/>
      <c r="F53" s="1090"/>
      <c r="G53" s="1090"/>
      <c r="H53" s="1090"/>
      <c r="I53" s="1090"/>
      <c r="J53" s="1090"/>
      <c r="K53" s="1090"/>
      <c r="L53" s="1090"/>
      <c r="M53" s="1090"/>
      <c r="N53" s="1090"/>
      <c r="O53" s="1090"/>
      <c r="P53" s="1090"/>
      <c r="Q53" s="1090"/>
      <c r="R53" s="1090"/>
      <c r="S53" s="1090"/>
      <c r="T53" s="1090"/>
      <c r="U53" s="1090"/>
      <c r="V53" s="1090"/>
      <c r="W53" s="1090"/>
      <c r="X53" s="1090"/>
      <c r="Y53" s="1090"/>
      <c r="Z53" s="1090"/>
      <c r="AA53" s="1090"/>
      <c r="AB53" s="1090"/>
      <c r="AC53" s="1090"/>
      <c r="AD53" s="1090"/>
      <c r="AE53" s="1090"/>
      <c r="AF53" s="1090"/>
      <c r="AG53" s="1090"/>
      <c r="AH53" s="1090"/>
      <c r="AI53" s="1090"/>
      <c r="AJ53" s="1090"/>
      <c r="AK53" s="1090"/>
      <c r="AL53" s="1090"/>
      <c r="AM53" s="1090"/>
      <c r="AN53" s="1094" t="s">
        <v>358</v>
      </c>
      <c r="AO53" s="1095"/>
      <c r="AP53" s="1095"/>
      <c r="AQ53" s="1095"/>
      <c r="AR53" s="1095"/>
      <c r="AS53" s="254">
        <f>SUM(AS51:AS52)</f>
        <v>0</v>
      </c>
    </row>
    <row r="54" spans="1:45" ht="17.45" customHeight="1">
      <c r="A54" s="255"/>
      <c r="B54" s="238"/>
      <c r="C54" s="238"/>
      <c r="D54" s="238"/>
      <c r="E54" s="238"/>
      <c r="F54" s="238"/>
      <c r="G54" s="238"/>
      <c r="H54" s="238"/>
      <c r="I54" s="238"/>
      <c r="J54" s="238"/>
      <c r="K54" s="238"/>
      <c r="L54" s="238"/>
      <c r="M54" s="238"/>
      <c r="N54" s="238"/>
      <c r="O54" s="238"/>
      <c r="P54" s="238"/>
      <c r="Q54" s="238"/>
      <c r="R54" s="238"/>
      <c r="S54" s="238"/>
      <c r="T54" s="238"/>
      <c r="U54" s="238"/>
      <c r="V54" s="238"/>
      <c r="W54" s="238"/>
      <c r="X54" s="238"/>
      <c r="Y54" s="238"/>
      <c r="Z54" s="238"/>
      <c r="AA54" s="238"/>
      <c r="AB54" s="238"/>
      <c r="AC54" s="238"/>
      <c r="AD54" s="238"/>
      <c r="AE54" s="238"/>
      <c r="AF54" s="238"/>
      <c r="AG54" s="238"/>
      <c r="AH54" s="238"/>
      <c r="AI54" s="238"/>
      <c r="AJ54" s="238"/>
      <c r="AK54" s="238"/>
      <c r="AL54" s="238"/>
      <c r="AM54" s="237"/>
      <c r="AN54" s="240"/>
      <c r="AO54" s="241"/>
      <c r="AP54" s="241"/>
      <c r="AQ54" s="241"/>
      <c r="AR54" s="241"/>
      <c r="AS54" s="256"/>
    </row>
    <row r="55" spans="1:45" ht="13.15" customHeight="1">
      <c r="A55" s="257"/>
      <c r="B55" s="272" t="s">
        <v>359</v>
      </c>
      <c r="C55" s="192"/>
      <c r="D55" s="192"/>
      <c r="E55" s="192"/>
      <c r="F55" s="192"/>
      <c r="G55" s="192"/>
      <c r="H55" s="192"/>
      <c r="I55" s="1096"/>
      <c r="J55" s="1096"/>
      <c r="K55" s="1096"/>
      <c r="L55" s="1096"/>
      <c r="M55" s="1096"/>
      <c r="N55" s="1096"/>
      <c r="O55" s="1096"/>
      <c r="P55" s="1096"/>
      <c r="Q55" s="1096"/>
      <c r="R55" s="1096"/>
      <c r="S55" s="1096"/>
      <c r="T55" s="1096"/>
      <c r="U55" s="1096"/>
      <c r="V55" s="1096"/>
      <c r="W55" s="1096"/>
      <c r="X55" s="1096"/>
      <c r="Y55" s="1096"/>
      <c r="Z55" s="192"/>
      <c r="AA55" s="192"/>
      <c r="AB55" s="192"/>
      <c r="AC55" s="192"/>
      <c r="AD55" s="192"/>
      <c r="AE55" s="192"/>
      <c r="AF55" s="192"/>
      <c r="AG55" s="192"/>
      <c r="AH55" s="192"/>
      <c r="AI55" s="192"/>
      <c r="AJ55" s="192"/>
      <c r="AK55" s="192"/>
      <c r="AL55" s="192"/>
      <c r="AM55" s="239"/>
      <c r="AN55" s="242" t="s">
        <v>360</v>
      </c>
      <c r="AO55" s="1096"/>
      <c r="AP55" s="1096"/>
      <c r="AQ55" s="1096"/>
      <c r="AR55" s="1096"/>
      <c r="AS55" s="258"/>
    </row>
    <row r="56" spans="1:45" ht="13.9" customHeight="1" thickBot="1">
      <c r="A56" s="259"/>
      <c r="B56" s="273" t="s">
        <v>338</v>
      </c>
      <c r="C56" s="260"/>
      <c r="D56" s="260"/>
      <c r="E56" s="260"/>
      <c r="F56" s="260"/>
      <c r="G56" s="302"/>
      <c r="H56" s="260"/>
      <c r="I56" s="1087"/>
      <c r="J56" s="1087"/>
      <c r="K56" s="1087"/>
      <c r="L56" s="1087"/>
      <c r="M56" s="1087"/>
      <c r="N56" s="1087"/>
      <c r="O56" s="1087"/>
      <c r="P56" s="1087"/>
      <c r="Q56" s="1087"/>
      <c r="R56" s="1087"/>
      <c r="S56" s="1087"/>
      <c r="T56" s="1087"/>
      <c r="U56" s="1087"/>
      <c r="V56" s="1087"/>
      <c r="W56" s="1087"/>
      <c r="X56" s="1087"/>
      <c r="Y56" s="1087"/>
      <c r="Z56" s="260"/>
      <c r="AA56" s="260"/>
      <c r="AB56" s="260"/>
      <c r="AC56" s="260"/>
      <c r="AD56" s="260"/>
      <c r="AE56" s="260"/>
      <c r="AF56" s="260"/>
      <c r="AG56" s="260"/>
      <c r="AH56" s="260"/>
      <c r="AI56" s="260"/>
      <c r="AJ56" s="260"/>
      <c r="AK56" s="260"/>
      <c r="AL56" s="260"/>
      <c r="AM56" s="261"/>
      <c r="AN56" s="262" t="s">
        <v>339</v>
      </c>
      <c r="AO56" s="1088"/>
      <c r="AP56" s="1088"/>
      <c r="AQ56" s="1088"/>
      <c r="AR56" s="1088"/>
      <c r="AS56" s="263"/>
    </row>
    <row r="57" spans="1:45" ht="15.6" customHeight="1">
      <c r="A57" s="1123" t="s">
        <v>341</v>
      </c>
      <c r="B57" s="1124"/>
      <c r="C57" s="1124"/>
      <c r="D57" s="1124"/>
      <c r="E57" s="1124"/>
      <c r="F57" s="1124"/>
      <c r="G57" s="1124"/>
      <c r="H57" s="1124"/>
      <c r="I57" s="1124"/>
      <c r="J57" s="1124"/>
      <c r="K57" s="1124"/>
      <c r="L57" s="1124"/>
      <c r="M57" s="1124"/>
      <c r="N57" s="1124"/>
      <c r="O57" s="1124"/>
      <c r="P57" s="1124"/>
      <c r="Q57" s="1124"/>
      <c r="R57" s="1124"/>
      <c r="S57" s="1124"/>
      <c r="T57" s="1124"/>
      <c r="U57" s="1124"/>
      <c r="V57" s="1124"/>
      <c r="W57" s="1124"/>
      <c r="X57" s="1127" t="str">
        <f>"MUNICIPIO DE "&amp;DATOS!$E$8</f>
        <v xml:space="preserve">MUNICIPIO DE </v>
      </c>
      <c r="Y57" s="1128"/>
      <c r="Z57" s="1128"/>
      <c r="AA57" s="1128"/>
      <c r="AB57" s="1128"/>
      <c r="AC57" s="1128"/>
      <c r="AD57" s="1128"/>
      <c r="AE57" s="1128"/>
      <c r="AF57" s="1128"/>
      <c r="AG57" s="1128"/>
      <c r="AH57" s="1128"/>
      <c r="AI57" s="1128"/>
      <c r="AJ57" s="1128"/>
      <c r="AK57" s="1128"/>
      <c r="AL57" s="1128"/>
      <c r="AM57" s="1128"/>
      <c r="AN57" s="1128"/>
      <c r="AO57" s="1128"/>
      <c r="AP57" s="243" t="s">
        <v>90</v>
      </c>
      <c r="AQ57" s="244"/>
      <c r="AR57" s="1106" t="s">
        <v>1128</v>
      </c>
      <c r="AS57" s="1107"/>
    </row>
    <row r="58" spans="1:45" ht="13.15" customHeight="1">
      <c r="A58" s="1125"/>
      <c r="B58" s="1126"/>
      <c r="C58" s="1126"/>
      <c r="D58" s="1126"/>
      <c r="E58" s="1126"/>
      <c r="F58" s="1126"/>
      <c r="G58" s="1126"/>
      <c r="H58" s="1126"/>
      <c r="I58" s="1126"/>
      <c r="J58" s="1126"/>
      <c r="K58" s="1126"/>
      <c r="L58" s="1126"/>
      <c r="M58" s="1126"/>
      <c r="N58" s="1126"/>
      <c r="O58" s="1126"/>
      <c r="P58" s="1126"/>
      <c r="Q58" s="1126"/>
      <c r="R58" s="1126"/>
      <c r="S58" s="1126"/>
      <c r="T58" s="1126"/>
      <c r="U58" s="1126"/>
      <c r="V58" s="1126"/>
      <c r="W58" s="1126"/>
      <c r="X58" s="269" t="str">
        <f>DATOS!$E$10&amp;" No.:"</f>
        <v xml:space="preserve"> No.:</v>
      </c>
      <c r="Y58" s="191"/>
      <c r="Z58" s="191"/>
      <c r="AA58" s="191"/>
      <c r="AB58" s="118"/>
      <c r="AC58" s="118"/>
      <c r="AD58" s="191"/>
      <c r="AE58" s="191"/>
      <c r="AF58" s="191"/>
      <c r="AG58" s="118"/>
      <c r="AH58" s="182"/>
      <c r="AI58" s="1114" t="str">
        <f>DATOS!$E$12&amp;" "&amp;DATOS!$G$12&amp;" "&amp;DATOS!$I$12</f>
        <v xml:space="preserve">  </v>
      </c>
      <c r="AJ58" s="1115"/>
      <c r="AK58" s="1115"/>
      <c r="AL58" s="1115"/>
      <c r="AM58" s="1115"/>
      <c r="AN58" s="1115"/>
      <c r="AO58" s="1116"/>
      <c r="AP58" s="184" t="s">
        <v>89</v>
      </c>
      <c r="AQ58" s="189"/>
      <c r="AR58" s="1108" t="s">
        <v>248</v>
      </c>
      <c r="AS58" s="1109"/>
    </row>
    <row r="59" spans="1:45" ht="13.15" customHeight="1">
      <c r="A59" s="1125"/>
      <c r="B59" s="1126"/>
      <c r="C59" s="1126"/>
      <c r="D59" s="1126"/>
      <c r="E59" s="1126"/>
      <c r="F59" s="1126"/>
      <c r="G59" s="1126"/>
      <c r="H59" s="1126"/>
      <c r="I59" s="1126"/>
      <c r="J59" s="1126"/>
      <c r="K59" s="1126"/>
      <c r="L59" s="1126"/>
      <c r="M59" s="1126"/>
      <c r="N59" s="1126"/>
      <c r="O59" s="1126"/>
      <c r="P59" s="1126"/>
      <c r="Q59" s="1126"/>
      <c r="R59" s="1126"/>
      <c r="S59" s="1126"/>
      <c r="T59" s="1126"/>
      <c r="U59" s="1126"/>
      <c r="V59" s="1126"/>
      <c r="W59" s="1126"/>
      <c r="X59" s="269" t="s">
        <v>4</v>
      </c>
      <c r="Y59" s="191"/>
      <c r="Z59" s="191"/>
      <c r="AA59" s="191"/>
      <c r="AB59" s="183"/>
      <c r="AC59" s="183"/>
      <c r="AD59" s="191"/>
      <c r="AE59" s="191"/>
      <c r="AF59" s="191"/>
      <c r="AG59" s="118"/>
      <c r="AH59" s="182"/>
      <c r="AI59" s="1114">
        <f>DATOS!$G$16</f>
        <v>0</v>
      </c>
      <c r="AJ59" s="1115"/>
      <c r="AK59" s="1115"/>
      <c r="AL59" s="1115"/>
      <c r="AM59" s="1115"/>
      <c r="AN59" s="1115"/>
      <c r="AO59" s="1116"/>
      <c r="AP59" s="184" t="s">
        <v>247</v>
      </c>
      <c r="AQ59" s="189"/>
      <c r="AR59" s="1110">
        <v>42705</v>
      </c>
      <c r="AS59" s="1109"/>
    </row>
    <row r="60" spans="1:45" ht="13.15" customHeight="1">
      <c r="A60" s="1125"/>
      <c r="B60" s="1126"/>
      <c r="C60" s="1126"/>
      <c r="D60" s="1126"/>
      <c r="E60" s="1126"/>
      <c r="F60" s="1126"/>
      <c r="G60" s="1126"/>
      <c r="H60" s="1126"/>
      <c r="I60" s="1126"/>
      <c r="J60" s="1126"/>
      <c r="K60" s="1126"/>
      <c r="L60" s="1126"/>
      <c r="M60" s="1126"/>
      <c r="N60" s="1126"/>
      <c r="O60" s="1126"/>
      <c r="P60" s="1126"/>
      <c r="Q60" s="1126"/>
      <c r="R60" s="1126"/>
      <c r="S60" s="1126"/>
      <c r="T60" s="1126"/>
      <c r="U60" s="1126"/>
      <c r="V60" s="1126"/>
      <c r="W60" s="1126"/>
      <c r="X60" s="269" t="s">
        <v>5</v>
      </c>
      <c r="Y60" s="191"/>
      <c r="Z60" s="191"/>
      <c r="AA60" s="191"/>
      <c r="AB60" s="183"/>
      <c r="AC60" s="183"/>
      <c r="AD60" s="191"/>
      <c r="AE60" s="191"/>
      <c r="AF60" s="191"/>
      <c r="AG60" s="118"/>
      <c r="AH60" s="182"/>
      <c r="AI60" s="1114" t="str">
        <f>IF(DATOS!$E$16="Persona Jurídica",DATOS!$G$20," ")</f>
        <v xml:space="preserve"> </v>
      </c>
      <c r="AJ60" s="1115"/>
      <c r="AK60" s="1115"/>
      <c r="AL60" s="1115"/>
      <c r="AM60" s="1115"/>
      <c r="AN60" s="1115"/>
      <c r="AO60" s="1116"/>
      <c r="AP60" s="1111" t="s">
        <v>344</v>
      </c>
      <c r="AQ60" s="1112"/>
      <c r="AR60" s="1112"/>
      <c r="AS60" s="1113"/>
    </row>
    <row r="61" spans="1:45" ht="13.15" customHeight="1">
      <c r="A61" s="1125"/>
      <c r="B61" s="1126"/>
      <c r="C61" s="1126"/>
      <c r="D61" s="1126"/>
      <c r="E61" s="1126"/>
      <c r="F61" s="1126"/>
      <c r="G61" s="1126"/>
      <c r="H61" s="1126"/>
      <c r="I61" s="1126"/>
      <c r="J61" s="1126"/>
      <c r="K61" s="1126"/>
      <c r="L61" s="1126"/>
      <c r="M61" s="1126"/>
      <c r="N61" s="1126"/>
      <c r="O61" s="1126"/>
      <c r="P61" s="1126"/>
      <c r="Q61" s="1126"/>
      <c r="R61" s="1126"/>
      <c r="S61" s="1126"/>
      <c r="T61" s="1126"/>
      <c r="U61" s="1126"/>
      <c r="V61" s="1126"/>
      <c r="W61" s="1126"/>
      <c r="X61" s="269" t="s">
        <v>105</v>
      </c>
      <c r="Y61" s="191"/>
      <c r="Z61" s="191"/>
      <c r="AA61" s="191"/>
      <c r="AB61" s="183"/>
      <c r="AC61" s="183"/>
      <c r="AD61" s="191"/>
      <c r="AE61" s="191"/>
      <c r="AF61" s="191"/>
      <c r="AG61" s="118"/>
      <c r="AH61" s="182"/>
      <c r="AI61" s="1114">
        <f>LOOKUP($X$5,DATOS!$C$24:$C$30,DATOS!$G$24:$G$30)</f>
        <v>0</v>
      </c>
      <c r="AJ61" s="1115"/>
      <c r="AK61" s="1115"/>
      <c r="AL61" s="1115"/>
      <c r="AM61" s="1115"/>
      <c r="AN61" s="1115"/>
      <c r="AO61" s="1116"/>
      <c r="AP61" s="1111"/>
      <c r="AQ61" s="1112"/>
      <c r="AR61" s="1112"/>
      <c r="AS61" s="1113"/>
    </row>
    <row r="62" spans="1:45" ht="13.15" customHeight="1">
      <c r="A62" s="1125"/>
      <c r="B62" s="1126"/>
      <c r="C62" s="1126"/>
      <c r="D62" s="1126"/>
      <c r="E62" s="1126"/>
      <c r="F62" s="1126"/>
      <c r="G62" s="1126"/>
      <c r="H62" s="1126"/>
      <c r="I62" s="1126"/>
      <c r="J62" s="1126"/>
      <c r="K62" s="1126"/>
      <c r="L62" s="1126"/>
      <c r="M62" s="1126"/>
      <c r="N62" s="1126"/>
      <c r="O62" s="1126"/>
      <c r="P62" s="1126"/>
      <c r="Q62" s="1126"/>
      <c r="R62" s="1126"/>
      <c r="S62" s="1126"/>
      <c r="T62" s="1126"/>
      <c r="U62" s="1126"/>
      <c r="V62" s="1126"/>
      <c r="W62" s="1126"/>
      <c r="X62" s="269" t="s">
        <v>5</v>
      </c>
      <c r="Y62" s="191"/>
      <c r="Z62" s="191"/>
      <c r="AA62" s="191"/>
      <c r="AB62" s="183"/>
      <c r="AC62" s="183"/>
      <c r="AD62" s="191"/>
      <c r="AE62" s="191"/>
      <c r="AF62" s="191"/>
      <c r="AG62" s="118"/>
      <c r="AH62" s="182"/>
      <c r="AI62" s="1114" t="str">
        <f>IF(DATOS!$E$24="Persona Jurídica",DATOS!$G$28," ")</f>
        <v xml:space="preserve"> </v>
      </c>
      <c r="AJ62" s="1115"/>
      <c r="AK62" s="1115"/>
      <c r="AL62" s="1115"/>
      <c r="AM62" s="1115"/>
      <c r="AN62" s="1115"/>
      <c r="AO62" s="1116"/>
      <c r="AP62" s="1111"/>
      <c r="AQ62" s="1112"/>
      <c r="AR62" s="1112"/>
      <c r="AS62" s="1113"/>
    </row>
    <row r="63" spans="1:45" ht="13.15" customHeight="1">
      <c r="A63" s="1125"/>
      <c r="B63" s="1126"/>
      <c r="C63" s="1126"/>
      <c r="D63" s="1126"/>
      <c r="E63" s="1126"/>
      <c r="F63" s="1126"/>
      <c r="G63" s="1126"/>
      <c r="H63" s="1126"/>
      <c r="I63" s="1126"/>
      <c r="J63" s="1126"/>
      <c r="K63" s="1126"/>
      <c r="L63" s="1126"/>
      <c r="M63" s="1126"/>
      <c r="N63" s="1126"/>
      <c r="O63" s="1126"/>
      <c r="P63" s="1126"/>
      <c r="Q63" s="1126"/>
      <c r="R63" s="1126"/>
      <c r="S63" s="1126"/>
      <c r="T63" s="1126"/>
      <c r="U63" s="1126"/>
      <c r="V63" s="1126"/>
      <c r="W63" s="1126"/>
      <c r="X63" s="269" t="s">
        <v>185</v>
      </c>
      <c r="Y63" s="191"/>
      <c r="Z63" s="191"/>
      <c r="AA63" s="191"/>
      <c r="AB63" s="183"/>
      <c r="AC63" s="183"/>
      <c r="AD63" s="191"/>
      <c r="AE63" s="191"/>
      <c r="AF63" s="191"/>
      <c r="AG63" s="118"/>
      <c r="AH63" s="182"/>
      <c r="AI63" s="1117">
        <f>DATOS!$E$46</f>
        <v>0</v>
      </c>
      <c r="AJ63" s="1118"/>
      <c r="AK63" s="1118"/>
      <c r="AL63" s="1118"/>
      <c r="AM63" s="1118"/>
      <c r="AN63" s="1118"/>
      <c r="AO63" s="1119"/>
      <c r="AP63" s="1111"/>
      <c r="AQ63" s="1112"/>
      <c r="AR63" s="1112"/>
      <c r="AS63" s="1113"/>
    </row>
    <row r="64" spans="1:45" ht="13.15" customHeight="1">
      <c r="A64" s="270" t="s">
        <v>8</v>
      </c>
      <c r="B64" s="185"/>
      <c r="C64" s="186"/>
      <c r="D64" s="1129">
        <f>DATOS!$E$38</f>
        <v>0</v>
      </c>
      <c r="E64" s="1130"/>
      <c r="F64" s="1130"/>
      <c r="G64" s="1130"/>
      <c r="H64" s="1130"/>
      <c r="I64" s="1130"/>
      <c r="J64" s="1130"/>
      <c r="K64" s="1130"/>
      <c r="L64" s="1130"/>
      <c r="M64" s="1130"/>
      <c r="N64" s="1130"/>
      <c r="O64" s="1130"/>
      <c r="P64" s="1130"/>
      <c r="Q64" s="1130"/>
      <c r="R64" s="1130"/>
      <c r="S64" s="1130"/>
      <c r="T64" s="1130"/>
      <c r="U64" s="1130"/>
      <c r="V64" s="1130"/>
      <c r="W64" s="1131"/>
      <c r="X64" s="269" t="s">
        <v>77</v>
      </c>
      <c r="Y64" s="191"/>
      <c r="Z64" s="191"/>
      <c r="AA64" s="191"/>
      <c r="AB64" s="183"/>
      <c r="AC64" s="183"/>
      <c r="AD64" s="191"/>
      <c r="AE64" s="191"/>
      <c r="AF64" s="191"/>
      <c r="AG64" s="118"/>
      <c r="AH64" s="182"/>
      <c r="AI64" s="1117">
        <f>DATOS!$E$60</f>
        <v>30000000</v>
      </c>
      <c r="AJ64" s="1118"/>
      <c r="AK64" s="1118"/>
      <c r="AL64" s="1118"/>
      <c r="AM64" s="1118"/>
      <c r="AN64" s="1118"/>
      <c r="AO64" s="1119"/>
      <c r="AP64" s="1111"/>
      <c r="AQ64" s="1112"/>
      <c r="AR64" s="1112"/>
      <c r="AS64" s="1113"/>
    </row>
    <row r="65" spans="1:45" ht="13.15" customHeight="1">
      <c r="A65" s="245"/>
      <c r="B65" s="185"/>
      <c r="C65" s="186"/>
      <c r="D65" s="1129"/>
      <c r="E65" s="1130"/>
      <c r="F65" s="1130"/>
      <c r="G65" s="1130"/>
      <c r="H65" s="1130"/>
      <c r="I65" s="1130"/>
      <c r="J65" s="1130"/>
      <c r="K65" s="1130"/>
      <c r="L65" s="1130"/>
      <c r="M65" s="1130"/>
      <c r="N65" s="1130"/>
      <c r="O65" s="1130"/>
      <c r="P65" s="1130"/>
      <c r="Q65" s="1130"/>
      <c r="R65" s="1130"/>
      <c r="S65" s="1130"/>
      <c r="T65" s="1130"/>
      <c r="U65" s="1130"/>
      <c r="V65" s="1130"/>
      <c r="W65" s="1131"/>
      <c r="X65" s="269" t="s">
        <v>78</v>
      </c>
      <c r="Y65" s="191"/>
      <c r="Z65" s="191"/>
      <c r="AA65" s="191"/>
      <c r="AB65" s="183"/>
      <c r="AC65" s="183"/>
      <c r="AD65" s="191"/>
      <c r="AE65" s="191"/>
      <c r="AF65" s="191"/>
      <c r="AG65" s="118"/>
      <c r="AH65" s="182"/>
      <c r="AI65" s="1117">
        <f>DATOS!$E$62</f>
        <v>0</v>
      </c>
      <c r="AJ65" s="1118"/>
      <c r="AK65" s="1118"/>
      <c r="AL65" s="1118"/>
      <c r="AM65" s="1118"/>
      <c r="AN65" s="1118"/>
      <c r="AO65" s="1119"/>
      <c r="AP65" s="1136">
        <v>42370</v>
      </c>
      <c r="AQ65" s="1137"/>
      <c r="AR65" s="1137"/>
      <c r="AS65" s="1138"/>
    </row>
    <row r="66" spans="1:45" ht="13.15" customHeight="1">
      <c r="A66" s="246"/>
      <c r="B66" s="187"/>
      <c r="C66" s="188"/>
      <c r="D66" s="1132"/>
      <c r="E66" s="1133"/>
      <c r="F66" s="1133"/>
      <c r="G66" s="1133"/>
      <c r="H66" s="1133"/>
      <c r="I66" s="1133"/>
      <c r="J66" s="1133"/>
      <c r="K66" s="1133"/>
      <c r="L66" s="1133"/>
      <c r="M66" s="1133"/>
      <c r="N66" s="1133"/>
      <c r="O66" s="1133"/>
      <c r="P66" s="1133"/>
      <c r="Q66" s="1133"/>
      <c r="R66" s="1133"/>
      <c r="S66" s="1133"/>
      <c r="T66" s="1133"/>
      <c r="U66" s="1133"/>
      <c r="V66" s="1133"/>
      <c r="W66" s="1134"/>
      <c r="X66" s="269" t="s">
        <v>186</v>
      </c>
      <c r="Y66" s="191"/>
      <c r="Z66" s="191"/>
      <c r="AA66" s="191"/>
      <c r="AB66" s="183"/>
      <c r="AC66" s="183"/>
      <c r="AD66" s="191"/>
      <c r="AE66" s="191"/>
      <c r="AF66" s="191"/>
      <c r="AG66" s="118"/>
      <c r="AH66" s="182"/>
      <c r="AI66" s="1117">
        <f>$AI$7+$AI$8+$AI$9</f>
        <v>30000000</v>
      </c>
      <c r="AJ66" s="1118"/>
      <c r="AK66" s="1118"/>
      <c r="AL66" s="1118"/>
      <c r="AM66" s="1118"/>
      <c r="AN66" s="1118"/>
      <c r="AO66" s="1119"/>
      <c r="AP66" s="1136"/>
      <c r="AQ66" s="1137"/>
      <c r="AR66" s="1137"/>
      <c r="AS66" s="1138"/>
    </row>
    <row r="67" spans="1:45">
      <c r="A67" s="247"/>
      <c r="B67" s="248"/>
      <c r="C67" s="248"/>
      <c r="D67" s="248"/>
      <c r="E67" s="248"/>
      <c r="F67" s="248"/>
      <c r="G67" s="248"/>
      <c r="H67" s="248"/>
      <c r="I67" s="248"/>
      <c r="J67" s="248"/>
      <c r="K67" s="248"/>
      <c r="L67" s="248"/>
      <c r="M67" s="248"/>
      <c r="N67" s="248"/>
      <c r="O67" s="248"/>
      <c r="P67" s="248"/>
      <c r="Q67" s="248"/>
      <c r="R67" s="248"/>
      <c r="S67" s="248"/>
      <c r="T67" s="248"/>
      <c r="U67" s="248"/>
      <c r="V67" s="248"/>
      <c r="W67" s="248"/>
      <c r="X67" s="248"/>
      <c r="Y67" s="248"/>
      <c r="Z67" s="248"/>
      <c r="AA67" s="248"/>
      <c r="AB67" s="248"/>
      <c r="AC67" s="248"/>
      <c r="AD67" s="248"/>
      <c r="AE67" s="248"/>
      <c r="AF67" s="248"/>
      <c r="AG67" s="248"/>
      <c r="AH67" s="248"/>
      <c r="AI67" s="248"/>
      <c r="AJ67" s="248"/>
      <c r="AK67" s="248"/>
      <c r="AL67" s="248"/>
      <c r="AM67" s="249"/>
      <c r="AN67" s="248"/>
      <c r="AO67" s="248"/>
      <c r="AP67" s="248"/>
      <c r="AQ67" s="248"/>
      <c r="AR67" s="248"/>
      <c r="AS67" s="250"/>
    </row>
    <row r="68" spans="1:45" ht="13.15" customHeight="1">
      <c r="A68" s="1120" t="s">
        <v>361</v>
      </c>
      <c r="B68" s="1120"/>
      <c r="C68" s="1120"/>
      <c r="D68" s="1120"/>
      <c r="E68" s="1120"/>
      <c r="F68" s="1121" t="s">
        <v>370</v>
      </c>
      <c r="G68" s="1121"/>
      <c r="H68" s="1121"/>
      <c r="I68" s="1121"/>
      <c r="J68" s="1121"/>
      <c r="K68" s="1121"/>
      <c r="L68" s="1121"/>
      <c r="M68" s="1121"/>
      <c r="N68" s="1121"/>
      <c r="O68" s="1121"/>
      <c r="P68" s="1121"/>
      <c r="Q68" s="1121"/>
      <c r="R68" s="1121"/>
      <c r="S68" s="1121"/>
      <c r="T68" s="1121"/>
      <c r="U68" s="1121"/>
      <c r="V68" s="1121"/>
      <c r="W68" s="1121"/>
      <c r="X68" s="1120" t="s">
        <v>181</v>
      </c>
      <c r="Y68" s="1120"/>
      <c r="Z68" s="1120"/>
      <c r="AA68" s="1097" t="s">
        <v>372</v>
      </c>
      <c r="AB68" s="1097"/>
      <c r="AC68" s="1097"/>
      <c r="AD68" s="1097"/>
      <c r="AE68" s="1097"/>
      <c r="AF68" s="1097"/>
      <c r="AG68" s="1097"/>
      <c r="AH68" s="1097"/>
      <c r="AI68" s="1097"/>
      <c r="AJ68" s="1097"/>
      <c r="AK68" s="1097"/>
      <c r="AL68" s="1097"/>
      <c r="AM68" s="1097"/>
      <c r="AN68" s="1097"/>
      <c r="AO68" s="1098" t="s">
        <v>342</v>
      </c>
      <c r="AP68" s="1100" t="s">
        <v>163</v>
      </c>
      <c r="AQ68" s="1098" t="s">
        <v>343</v>
      </c>
      <c r="AR68" s="1102" t="s">
        <v>371</v>
      </c>
      <c r="AS68" s="1103"/>
    </row>
    <row r="69" spans="1:45" ht="13.15" customHeight="1">
      <c r="A69" s="1120"/>
      <c r="B69" s="1120"/>
      <c r="C69" s="1120"/>
      <c r="D69" s="1120"/>
      <c r="E69" s="1120"/>
      <c r="F69" s="1121"/>
      <c r="G69" s="1121"/>
      <c r="H69" s="1121"/>
      <c r="I69" s="1121"/>
      <c r="J69" s="1121"/>
      <c r="K69" s="1121"/>
      <c r="L69" s="1121"/>
      <c r="M69" s="1121"/>
      <c r="N69" s="1121"/>
      <c r="O69" s="1121"/>
      <c r="P69" s="1121"/>
      <c r="Q69" s="1121"/>
      <c r="R69" s="1121"/>
      <c r="S69" s="1121"/>
      <c r="T69" s="1121"/>
      <c r="U69" s="1121"/>
      <c r="V69" s="1121"/>
      <c r="W69" s="1121"/>
      <c r="X69" s="1120"/>
      <c r="Y69" s="1120"/>
      <c r="Z69" s="1120"/>
      <c r="AA69" s="1097"/>
      <c r="AB69" s="1097"/>
      <c r="AC69" s="1097"/>
      <c r="AD69" s="1097"/>
      <c r="AE69" s="1097"/>
      <c r="AF69" s="1097"/>
      <c r="AG69" s="1097"/>
      <c r="AH69" s="1097"/>
      <c r="AI69" s="1097"/>
      <c r="AJ69" s="1097"/>
      <c r="AK69" s="1097"/>
      <c r="AL69" s="1097"/>
      <c r="AM69" s="1097"/>
      <c r="AN69" s="1097"/>
      <c r="AO69" s="1099"/>
      <c r="AP69" s="1101"/>
      <c r="AQ69" s="1099"/>
      <c r="AR69" s="1104"/>
      <c r="AS69" s="1105"/>
    </row>
    <row r="70" spans="1:45">
      <c r="A70" s="211" t="s">
        <v>347</v>
      </c>
      <c r="B70" s="212"/>
      <c r="C70" s="213"/>
      <c r="D70" s="212"/>
      <c r="E70" s="212"/>
      <c r="F70" s="212"/>
      <c r="G70" s="212"/>
      <c r="H70" s="212"/>
      <c r="I70" s="212"/>
      <c r="J70" s="212"/>
      <c r="K70" s="212"/>
      <c r="L70" s="212"/>
      <c r="M70" s="212"/>
      <c r="N70" s="212"/>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4"/>
      <c r="AN70" s="1099" t="s">
        <v>354</v>
      </c>
      <c r="AO70" s="1135" t="s">
        <v>351</v>
      </c>
      <c r="AP70" s="1135"/>
      <c r="AQ70" s="1135"/>
      <c r="AR70" s="1083" t="s">
        <v>352</v>
      </c>
      <c r="AS70" s="1085" t="s">
        <v>353</v>
      </c>
    </row>
    <row r="71" spans="1:45">
      <c r="A71" s="197"/>
      <c r="B71" s="198"/>
      <c r="C71" s="198"/>
      <c r="D71" s="198"/>
      <c r="E71" s="198"/>
      <c r="F71" s="198"/>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8"/>
      <c r="AI71" s="198"/>
      <c r="AJ71" s="198"/>
      <c r="AK71" s="198"/>
      <c r="AL71" s="198"/>
      <c r="AM71" s="215"/>
      <c r="AN71" s="1120"/>
      <c r="AO71" s="268" t="s">
        <v>337</v>
      </c>
      <c r="AP71" s="268" t="s">
        <v>349</v>
      </c>
      <c r="AQ71" s="268" t="s">
        <v>350</v>
      </c>
      <c r="AR71" s="1084"/>
      <c r="AS71" s="1086"/>
    </row>
    <row r="72" spans="1:45">
      <c r="A72" s="197"/>
      <c r="B72" s="198"/>
      <c r="C72" s="198"/>
      <c r="D72" s="199"/>
      <c r="E72" s="199"/>
      <c r="F72" s="199"/>
      <c r="G72" s="199"/>
      <c r="H72" s="199"/>
      <c r="I72" s="199"/>
      <c r="J72" s="199"/>
      <c r="K72" s="199"/>
      <c r="L72" s="200"/>
      <c r="M72" s="200"/>
      <c r="N72" s="200"/>
      <c r="O72" s="199"/>
      <c r="P72" s="199"/>
      <c r="Q72" s="199"/>
      <c r="R72" s="199"/>
      <c r="S72" s="199"/>
      <c r="T72" s="199"/>
      <c r="U72" s="199"/>
      <c r="V72" s="199"/>
      <c r="W72" s="199"/>
      <c r="X72" s="199"/>
      <c r="Y72" s="199"/>
      <c r="Z72" s="199"/>
      <c r="AA72" s="199"/>
      <c r="AB72" s="199"/>
      <c r="AC72" s="200"/>
      <c r="AD72" s="200"/>
      <c r="AE72" s="200"/>
      <c r="AF72" s="199"/>
      <c r="AG72" s="201"/>
      <c r="AH72" s="201"/>
      <c r="AI72" s="201"/>
      <c r="AJ72" s="201"/>
      <c r="AK72" s="201"/>
      <c r="AL72" s="198"/>
      <c r="AM72" s="215"/>
      <c r="AN72" s="313" t="s">
        <v>362</v>
      </c>
      <c r="AO72" s="303"/>
      <c r="AP72" s="304"/>
      <c r="AQ72" s="304"/>
      <c r="AR72" s="266"/>
      <c r="AS72" s="267"/>
    </row>
    <row r="73" spans="1:45">
      <c r="A73" s="197"/>
      <c r="B73" s="198"/>
      <c r="C73" s="198"/>
      <c r="D73" s="199"/>
      <c r="E73" s="199"/>
      <c r="F73" s="199"/>
      <c r="G73" s="199"/>
      <c r="H73" s="199"/>
      <c r="I73" s="199"/>
      <c r="J73" s="202"/>
      <c r="K73" s="199"/>
      <c r="L73" s="199"/>
      <c r="M73" s="199"/>
      <c r="N73" s="199"/>
      <c r="O73" s="201"/>
      <c r="P73" s="201"/>
      <c r="Q73" s="201"/>
      <c r="R73" s="201"/>
      <c r="S73" s="199"/>
      <c r="T73" s="199"/>
      <c r="U73" s="199"/>
      <c r="V73" s="199"/>
      <c r="W73" s="199"/>
      <c r="X73" s="199"/>
      <c r="Y73" s="199"/>
      <c r="Z73" s="199"/>
      <c r="AA73" s="202"/>
      <c r="AB73" s="199"/>
      <c r="AC73" s="199"/>
      <c r="AD73" s="199"/>
      <c r="AE73" s="199"/>
      <c r="AF73" s="201"/>
      <c r="AG73" s="201"/>
      <c r="AH73" s="201"/>
      <c r="AI73" s="201"/>
      <c r="AJ73" s="201"/>
      <c r="AK73" s="201"/>
      <c r="AL73" s="198"/>
      <c r="AM73" s="215"/>
      <c r="AN73" s="219" t="s">
        <v>363</v>
      </c>
      <c r="AO73" s="311">
        <v>3.9</v>
      </c>
      <c r="AP73" s="305"/>
      <c r="AQ73" s="306">
        <v>1.6</v>
      </c>
      <c r="AR73" s="220"/>
      <c r="AS73" s="251">
        <f>ROUND(AO73*AQ73,9)</f>
        <v>6.24</v>
      </c>
    </row>
    <row r="74" spans="1:45">
      <c r="A74" s="197"/>
      <c r="B74" s="198"/>
      <c r="C74" s="198"/>
      <c r="D74" s="199"/>
      <c r="E74" s="199"/>
      <c r="F74" s="199"/>
      <c r="G74" s="199"/>
      <c r="H74" s="199"/>
      <c r="I74" s="199"/>
      <c r="J74" s="202"/>
      <c r="K74" s="199"/>
      <c r="L74" s="199"/>
      <c r="M74" s="199"/>
      <c r="N74" s="199"/>
      <c r="O74" s="199"/>
      <c r="P74" s="199"/>
      <c r="Q74" s="199"/>
      <c r="R74" s="199"/>
      <c r="S74" s="199"/>
      <c r="T74" s="199"/>
      <c r="U74" s="199"/>
      <c r="V74" s="199"/>
      <c r="W74" s="199"/>
      <c r="X74" s="199"/>
      <c r="Y74" s="199"/>
      <c r="Z74" s="199"/>
      <c r="AA74" s="202"/>
      <c r="AB74" s="199"/>
      <c r="AC74" s="199"/>
      <c r="AD74" s="199"/>
      <c r="AE74" s="199"/>
      <c r="AF74" s="199"/>
      <c r="AG74" s="201"/>
      <c r="AH74" s="201"/>
      <c r="AI74" s="201"/>
      <c r="AJ74" s="201"/>
      <c r="AK74" s="201"/>
      <c r="AL74" s="198"/>
      <c r="AM74" s="215"/>
      <c r="AN74" s="219" t="s">
        <v>364</v>
      </c>
      <c r="AO74" s="311">
        <v>4.04</v>
      </c>
      <c r="AP74" s="307"/>
      <c r="AQ74" s="308">
        <v>1.25</v>
      </c>
      <c r="AR74" s="220"/>
      <c r="AS74" s="251">
        <f t="shared" ref="AS74:AS86" si="0">ROUND(AO74*AQ74,9)</f>
        <v>5.05</v>
      </c>
    </row>
    <row r="75" spans="1:45">
      <c r="A75" s="197"/>
      <c r="B75" s="198"/>
      <c r="C75" s="198"/>
      <c r="D75" s="199"/>
      <c r="E75" s="199"/>
      <c r="F75" s="199"/>
      <c r="G75" s="199"/>
      <c r="H75" s="199"/>
      <c r="I75" s="199"/>
      <c r="J75" s="202"/>
      <c r="K75" s="199"/>
      <c r="L75" s="199"/>
      <c r="M75" s="199"/>
      <c r="N75" s="199"/>
      <c r="O75" s="199"/>
      <c r="P75" s="199"/>
      <c r="Q75" s="199"/>
      <c r="R75" s="199"/>
      <c r="S75" s="199"/>
      <c r="T75" s="199"/>
      <c r="U75" s="199"/>
      <c r="V75" s="199"/>
      <c r="W75" s="199"/>
      <c r="X75" s="199"/>
      <c r="Y75" s="199"/>
      <c r="Z75" s="199"/>
      <c r="AA75" s="202"/>
      <c r="AB75" s="199"/>
      <c r="AC75" s="199"/>
      <c r="AD75" s="199"/>
      <c r="AE75" s="199"/>
      <c r="AF75" s="199"/>
      <c r="AG75" s="201"/>
      <c r="AH75" s="201"/>
      <c r="AI75" s="201"/>
      <c r="AJ75" s="201"/>
      <c r="AK75" s="201"/>
      <c r="AL75" s="198"/>
      <c r="AM75" s="215"/>
      <c r="AN75" s="219"/>
      <c r="AO75" s="311"/>
      <c r="AP75" s="305"/>
      <c r="AQ75" s="308"/>
      <c r="AR75" s="218"/>
      <c r="AS75" s="251"/>
    </row>
    <row r="76" spans="1:45">
      <c r="A76" s="197"/>
      <c r="B76" s="198"/>
      <c r="C76" s="198"/>
      <c r="D76" s="201"/>
      <c r="E76" s="201"/>
      <c r="F76" s="201"/>
      <c r="G76" s="201"/>
      <c r="H76" s="201"/>
      <c r="I76" s="201"/>
      <c r="J76" s="202"/>
      <c r="K76" s="201"/>
      <c r="L76" s="201"/>
      <c r="M76" s="201"/>
      <c r="N76" s="201"/>
      <c r="O76" s="201"/>
      <c r="P76" s="201"/>
      <c r="Q76" s="201"/>
      <c r="R76" s="201"/>
      <c r="S76" s="199"/>
      <c r="T76" s="199"/>
      <c r="U76" s="201"/>
      <c r="V76" s="201"/>
      <c r="W76" s="201"/>
      <c r="X76" s="201"/>
      <c r="Y76" s="201"/>
      <c r="Z76" s="201"/>
      <c r="AA76" s="202"/>
      <c r="AB76" s="201"/>
      <c r="AC76" s="201"/>
      <c r="AD76" s="201"/>
      <c r="AE76" s="201"/>
      <c r="AF76" s="201"/>
      <c r="AG76" s="201"/>
      <c r="AH76" s="201"/>
      <c r="AI76" s="201"/>
      <c r="AJ76" s="201"/>
      <c r="AK76" s="201"/>
      <c r="AL76" s="198"/>
      <c r="AM76" s="215"/>
      <c r="AN76" s="314" t="s">
        <v>365</v>
      </c>
      <c r="AO76" s="311"/>
      <c r="AP76" s="305"/>
      <c r="AQ76" s="308"/>
      <c r="AR76" s="218"/>
      <c r="AS76" s="251"/>
    </row>
    <row r="77" spans="1:45">
      <c r="A77" s="197"/>
      <c r="B77" s="198"/>
      <c r="C77" s="198"/>
      <c r="D77" s="201"/>
      <c r="E77" s="201"/>
      <c r="F77" s="201"/>
      <c r="G77" s="201"/>
      <c r="H77" s="201"/>
      <c r="I77" s="201"/>
      <c r="J77" s="202"/>
      <c r="K77" s="201"/>
      <c r="L77" s="201"/>
      <c r="M77" s="201"/>
      <c r="N77" s="201"/>
      <c r="O77" s="201"/>
      <c r="P77" s="201"/>
      <c r="Q77" s="201"/>
      <c r="R77" s="201"/>
      <c r="S77" s="199"/>
      <c r="T77" s="199"/>
      <c r="U77" s="201"/>
      <c r="V77" s="201"/>
      <c r="W77" s="201"/>
      <c r="X77" s="201"/>
      <c r="Y77" s="201"/>
      <c r="Z77" s="201"/>
      <c r="AA77" s="202"/>
      <c r="AB77" s="201"/>
      <c r="AC77" s="201"/>
      <c r="AD77" s="201"/>
      <c r="AE77" s="201"/>
      <c r="AF77" s="201"/>
      <c r="AG77" s="201"/>
      <c r="AH77" s="201"/>
      <c r="AI77" s="201"/>
      <c r="AJ77" s="201"/>
      <c r="AK77" s="201"/>
      <c r="AL77" s="198"/>
      <c r="AM77" s="215"/>
      <c r="AN77" s="219" t="s">
        <v>363</v>
      </c>
      <c r="AO77" s="312">
        <v>3.9</v>
      </c>
      <c r="AP77" s="305"/>
      <c r="AQ77" s="306">
        <v>1.6</v>
      </c>
      <c r="AR77" s="218"/>
      <c r="AS77" s="251">
        <f t="shared" si="0"/>
        <v>6.24</v>
      </c>
    </row>
    <row r="78" spans="1:45" ht="13.15" customHeight="1">
      <c r="A78" s="197"/>
      <c r="B78" s="198"/>
      <c r="C78" s="198"/>
      <c r="D78" s="201"/>
      <c r="E78" s="201"/>
      <c r="F78" s="201"/>
      <c r="G78" s="201"/>
      <c r="H78" s="201"/>
      <c r="I78" s="201"/>
      <c r="J78" s="201"/>
      <c r="K78" s="201"/>
      <c r="L78" s="201"/>
      <c r="M78" s="201"/>
      <c r="N78" s="201"/>
      <c r="O78" s="201"/>
      <c r="P78" s="201"/>
      <c r="Q78" s="201"/>
      <c r="R78" s="201"/>
      <c r="S78" s="199"/>
      <c r="T78" s="199"/>
      <c r="U78" s="201"/>
      <c r="V78" s="201"/>
      <c r="W78" s="201"/>
      <c r="X78" s="201"/>
      <c r="Y78" s="1122"/>
      <c r="Z78" s="1122"/>
      <c r="AA78" s="1122"/>
      <c r="AB78" s="201"/>
      <c r="AC78" s="201"/>
      <c r="AD78" s="201"/>
      <c r="AE78" s="201"/>
      <c r="AF78" s="201"/>
      <c r="AG78" s="201"/>
      <c r="AH78" s="201"/>
      <c r="AI78" s="201"/>
      <c r="AJ78" s="201"/>
      <c r="AK78" s="201"/>
      <c r="AL78" s="198"/>
      <c r="AM78" s="215"/>
      <c r="AN78" s="219"/>
      <c r="AO78" s="311"/>
      <c r="AP78" s="305"/>
      <c r="AQ78" s="308"/>
      <c r="AR78" s="218"/>
      <c r="AS78" s="251"/>
    </row>
    <row r="79" spans="1:45">
      <c r="A79" s="197"/>
      <c r="B79" s="198"/>
      <c r="C79" s="198"/>
      <c r="D79" s="201"/>
      <c r="E79" s="201"/>
      <c r="F79" s="201"/>
      <c r="G79" s="274"/>
      <c r="H79" s="201"/>
      <c r="I79" s="201"/>
      <c r="J79" s="201"/>
      <c r="K79" s="274"/>
      <c r="L79" s="201"/>
      <c r="M79" s="201"/>
      <c r="N79" s="201"/>
      <c r="O79" s="201"/>
      <c r="P79" s="201"/>
      <c r="Q79" s="201"/>
      <c r="R79" s="201"/>
      <c r="S79" s="199"/>
      <c r="T79" s="199"/>
      <c r="U79" s="201"/>
      <c r="V79" s="201"/>
      <c r="W79" s="274"/>
      <c r="X79" s="201"/>
      <c r="Y79" s="201"/>
      <c r="Z79" s="201"/>
      <c r="AA79" s="274"/>
      <c r="AB79" s="274"/>
      <c r="AC79" s="201"/>
      <c r="AD79" s="201"/>
      <c r="AE79" s="201"/>
      <c r="AF79" s="201"/>
      <c r="AG79" s="201"/>
      <c r="AH79" s="201"/>
      <c r="AI79" s="201"/>
      <c r="AJ79" s="201"/>
      <c r="AK79" s="201"/>
      <c r="AL79" s="198"/>
      <c r="AM79" s="215"/>
      <c r="AN79" s="314" t="s">
        <v>366</v>
      </c>
      <c r="AO79" s="311"/>
      <c r="AP79" s="305"/>
      <c r="AQ79" s="308"/>
      <c r="AR79" s="218"/>
      <c r="AS79" s="251"/>
    </row>
    <row r="80" spans="1:45">
      <c r="A80" s="197"/>
      <c r="B80" s="198"/>
      <c r="C80" s="198"/>
      <c r="D80" s="201"/>
      <c r="E80" s="201"/>
      <c r="F80" s="201"/>
      <c r="G80" s="201"/>
      <c r="H80" s="201"/>
      <c r="I80" s="201"/>
      <c r="J80" s="201"/>
      <c r="K80" s="201"/>
      <c r="L80" s="201"/>
      <c r="M80" s="201"/>
      <c r="N80" s="201"/>
      <c r="O80" s="201"/>
      <c r="P80" s="201"/>
      <c r="Q80" s="201"/>
      <c r="R80" s="201"/>
      <c r="S80" s="201"/>
      <c r="T80" s="201"/>
      <c r="U80" s="201"/>
      <c r="V80" s="201"/>
      <c r="W80" s="201"/>
      <c r="X80" s="201"/>
      <c r="Y80" s="201"/>
      <c r="Z80" s="201"/>
      <c r="AA80" s="201"/>
      <c r="AB80" s="201"/>
      <c r="AC80" s="201"/>
      <c r="AD80" s="201"/>
      <c r="AE80" s="201"/>
      <c r="AF80" s="201"/>
      <c r="AG80" s="201"/>
      <c r="AH80" s="201"/>
      <c r="AI80" s="201"/>
      <c r="AJ80" s="201"/>
      <c r="AK80" s="201"/>
      <c r="AL80" s="198"/>
      <c r="AM80" s="215"/>
      <c r="AN80" s="219" t="s">
        <v>363</v>
      </c>
      <c r="AO80" s="311">
        <v>3.9</v>
      </c>
      <c r="AP80" s="306"/>
      <c r="AQ80" s="306">
        <v>1.6</v>
      </c>
      <c r="AR80" s="218"/>
      <c r="AS80" s="251">
        <f t="shared" si="0"/>
        <v>6.24</v>
      </c>
    </row>
    <row r="81" spans="1:45">
      <c r="A81" s="197"/>
      <c r="B81" s="198"/>
      <c r="C81" s="203"/>
      <c r="D81" s="199"/>
      <c r="E81" s="199"/>
      <c r="F81" s="199"/>
      <c r="G81" s="199"/>
      <c r="H81" s="199"/>
      <c r="I81" s="199"/>
      <c r="J81" s="199"/>
      <c r="K81" s="199"/>
      <c r="L81" s="199"/>
      <c r="M81" s="199"/>
      <c r="N81" s="199"/>
      <c r="O81" s="199"/>
      <c r="P81" s="199"/>
      <c r="Q81" s="199"/>
      <c r="R81" s="199"/>
      <c r="S81" s="199"/>
      <c r="T81" s="199"/>
      <c r="U81" s="199"/>
      <c r="V81" s="199"/>
      <c r="W81" s="199"/>
      <c r="X81" s="199"/>
      <c r="Y81" s="199"/>
      <c r="Z81" s="199"/>
      <c r="AA81" s="199"/>
      <c r="AB81" s="199"/>
      <c r="AC81" s="199"/>
      <c r="AD81" s="199"/>
      <c r="AE81" s="199"/>
      <c r="AF81" s="199"/>
      <c r="AG81" s="199"/>
      <c r="AH81" s="199"/>
      <c r="AI81" s="201"/>
      <c r="AJ81" s="201"/>
      <c r="AK81" s="201"/>
      <c r="AL81" s="198"/>
      <c r="AM81" s="215"/>
      <c r="AN81" s="219"/>
      <c r="AO81" s="311"/>
      <c r="AP81" s="306"/>
      <c r="AQ81" s="306"/>
      <c r="AR81" s="218"/>
      <c r="AS81" s="251"/>
    </row>
    <row r="82" spans="1:45">
      <c r="A82" s="197"/>
      <c r="B82" s="203"/>
      <c r="C82" s="203"/>
      <c r="D82" s="199"/>
      <c r="E82" s="199"/>
      <c r="F82" s="199"/>
      <c r="G82" s="199"/>
      <c r="H82" s="199"/>
      <c r="I82" s="199"/>
      <c r="J82" s="199"/>
      <c r="K82" s="199"/>
      <c r="L82" s="199"/>
      <c r="M82" s="199"/>
      <c r="N82" s="199"/>
      <c r="O82" s="199"/>
      <c r="P82" s="199"/>
      <c r="Q82" s="199"/>
      <c r="R82" s="199"/>
      <c r="S82" s="199"/>
      <c r="T82" s="199"/>
      <c r="U82" s="199"/>
      <c r="V82" s="199"/>
      <c r="W82" s="199"/>
      <c r="X82" s="199"/>
      <c r="Y82" s="199"/>
      <c r="Z82" s="199"/>
      <c r="AA82" s="199"/>
      <c r="AB82" s="199"/>
      <c r="AC82" s="199"/>
      <c r="AD82" s="199"/>
      <c r="AE82" s="199"/>
      <c r="AF82" s="199"/>
      <c r="AG82" s="199"/>
      <c r="AH82" s="199"/>
      <c r="AI82" s="201"/>
      <c r="AJ82" s="201"/>
      <c r="AK82" s="201"/>
      <c r="AL82" s="198"/>
      <c r="AM82" s="215"/>
      <c r="AN82" s="314" t="s">
        <v>367</v>
      </c>
      <c r="AO82" s="311">
        <v>0.9</v>
      </c>
      <c r="AP82" s="306"/>
      <c r="AQ82" s="306">
        <v>0.9</v>
      </c>
      <c r="AR82" s="218"/>
      <c r="AS82" s="251">
        <f t="shared" si="0"/>
        <v>0.81</v>
      </c>
    </row>
    <row r="83" spans="1:45" ht="15">
      <c r="A83" s="197"/>
      <c r="B83" s="203"/>
      <c r="C83" s="203"/>
      <c r="D83" s="199"/>
      <c r="E83" s="199"/>
      <c r="F83" s="199"/>
      <c r="G83" s="199"/>
      <c r="H83" s="199"/>
      <c r="I83" s="199"/>
      <c r="J83" s="199"/>
      <c r="K83" s="199"/>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c r="AI83" s="201"/>
      <c r="AJ83" s="201"/>
      <c r="AK83" s="201"/>
      <c r="AL83" s="198"/>
      <c r="AM83" s="215"/>
      <c r="AN83" s="219"/>
      <c r="AO83" s="311"/>
      <c r="AP83" s="306"/>
      <c r="AQ83" s="308"/>
      <c r="AR83" s="224"/>
      <c r="AS83" s="251"/>
    </row>
    <row r="84" spans="1:45">
      <c r="A84" s="197"/>
      <c r="B84" s="203"/>
      <c r="C84" s="204"/>
      <c r="D84" s="199"/>
      <c r="E84" s="199"/>
      <c r="F84" s="199"/>
      <c r="G84" s="199"/>
      <c r="H84" s="199"/>
      <c r="I84" s="199"/>
      <c r="J84" s="199"/>
      <c r="K84" s="199"/>
      <c r="L84" s="199"/>
      <c r="M84" s="199"/>
      <c r="N84" s="199"/>
      <c r="O84" s="199"/>
      <c r="P84" s="199"/>
      <c r="Q84" s="199"/>
      <c r="R84" s="199"/>
      <c r="S84" s="199"/>
      <c r="T84" s="199"/>
      <c r="U84" s="205"/>
      <c r="V84" s="199"/>
      <c r="W84" s="199"/>
      <c r="X84" s="199"/>
      <c r="Y84" s="199"/>
      <c r="Z84" s="199"/>
      <c r="AA84" s="199"/>
      <c r="AB84" s="199"/>
      <c r="AC84" s="199"/>
      <c r="AD84" s="199"/>
      <c r="AE84" s="199"/>
      <c r="AF84" s="199"/>
      <c r="AG84" s="199"/>
      <c r="AH84" s="199"/>
      <c r="AI84" s="199"/>
      <c r="AJ84" s="199"/>
      <c r="AK84" s="199"/>
      <c r="AL84" s="198"/>
      <c r="AM84" s="215"/>
      <c r="AN84" s="314" t="s">
        <v>368</v>
      </c>
      <c r="AO84" s="311">
        <v>1.1000000000000001</v>
      </c>
      <c r="AP84" s="306"/>
      <c r="AQ84" s="309">
        <v>1.1000000000000001</v>
      </c>
      <c r="AR84" s="220"/>
      <c r="AS84" s="251">
        <f t="shared" si="0"/>
        <v>1.21</v>
      </c>
    </row>
    <row r="85" spans="1:45">
      <c r="A85" s="197"/>
      <c r="B85" s="203"/>
      <c r="C85" s="203"/>
      <c r="D85" s="199"/>
      <c r="E85" s="199"/>
      <c r="F85" s="199"/>
      <c r="G85" s="199"/>
      <c r="H85" s="199"/>
      <c r="I85" s="199"/>
      <c r="J85" s="199"/>
      <c r="K85" s="199"/>
      <c r="L85" s="199"/>
      <c r="M85" s="199"/>
      <c r="N85" s="199"/>
      <c r="O85" s="199"/>
      <c r="P85" s="199"/>
      <c r="Q85" s="199"/>
      <c r="R85" s="199"/>
      <c r="S85" s="199"/>
      <c r="T85" s="199"/>
      <c r="U85" s="199"/>
      <c r="V85" s="199"/>
      <c r="W85" s="199"/>
      <c r="X85" s="199"/>
      <c r="Y85" s="199"/>
      <c r="Z85" s="199"/>
      <c r="AA85" s="199"/>
      <c r="AB85" s="199"/>
      <c r="AC85" s="199"/>
      <c r="AD85" s="199"/>
      <c r="AE85" s="199"/>
      <c r="AF85" s="199"/>
      <c r="AG85" s="199"/>
      <c r="AH85" s="199"/>
      <c r="AI85" s="199"/>
      <c r="AJ85" s="199"/>
      <c r="AK85" s="199"/>
      <c r="AL85" s="198"/>
      <c r="AM85" s="215"/>
      <c r="AN85" s="219"/>
      <c r="AO85" s="311"/>
      <c r="AP85" s="306"/>
      <c r="AQ85" s="309"/>
      <c r="AR85" s="218"/>
      <c r="AS85" s="251"/>
    </row>
    <row r="86" spans="1:45">
      <c r="A86" s="197"/>
      <c r="B86" s="206"/>
      <c r="C86" s="203"/>
      <c r="D86" s="199"/>
      <c r="E86" s="199"/>
      <c r="F86" s="199"/>
      <c r="G86" s="199"/>
      <c r="H86" s="199"/>
      <c r="I86" s="199"/>
      <c r="J86" s="199"/>
      <c r="K86" s="199"/>
      <c r="L86" s="199"/>
      <c r="M86" s="207"/>
      <c r="N86" s="207"/>
      <c r="O86" s="207"/>
      <c r="P86" s="207"/>
      <c r="Q86" s="207"/>
      <c r="R86" s="207"/>
      <c r="S86" s="199"/>
      <c r="T86" s="202"/>
      <c r="U86" s="199"/>
      <c r="V86" s="199"/>
      <c r="W86" s="199"/>
      <c r="X86" s="199"/>
      <c r="Y86" s="199"/>
      <c r="Z86" s="207"/>
      <c r="AA86" s="207"/>
      <c r="AB86" s="207"/>
      <c r="AC86" s="207"/>
      <c r="AD86" s="199"/>
      <c r="AE86" s="199"/>
      <c r="AF86" s="199"/>
      <c r="AG86" s="199"/>
      <c r="AH86" s="199"/>
      <c r="AI86" s="199"/>
      <c r="AJ86" s="199"/>
      <c r="AK86" s="199"/>
      <c r="AL86" s="198"/>
      <c r="AM86" s="215"/>
      <c r="AN86" s="315" t="s">
        <v>369</v>
      </c>
      <c r="AO86" s="312">
        <v>1.1000000000000001</v>
      </c>
      <c r="AP86" s="310"/>
      <c r="AQ86" s="316">
        <v>1.1000000000000001</v>
      </c>
      <c r="AR86" s="230"/>
      <c r="AS86" s="251">
        <f t="shared" si="0"/>
        <v>1.21</v>
      </c>
    </row>
    <row r="87" spans="1:45">
      <c r="A87" s="197"/>
      <c r="B87" s="206"/>
      <c r="C87" s="203"/>
      <c r="D87" s="199"/>
      <c r="E87" s="199"/>
      <c r="F87" s="199"/>
      <c r="G87" s="199"/>
      <c r="H87" s="199"/>
      <c r="I87" s="199"/>
      <c r="J87" s="199"/>
      <c r="K87" s="199"/>
      <c r="L87" s="199"/>
      <c r="M87" s="207"/>
      <c r="N87" s="207"/>
      <c r="O87" s="207"/>
      <c r="P87" s="207"/>
      <c r="Q87" s="207"/>
      <c r="R87" s="207"/>
      <c r="S87" s="199"/>
      <c r="T87" s="202"/>
      <c r="U87" s="199"/>
      <c r="V87" s="199"/>
      <c r="W87" s="199"/>
      <c r="X87" s="199"/>
      <c r="Y87" s="199"/>
      <c r="Z87" s="207"/>
      <c r="AA87" s="207"/>
      <c r="AB87" s="207"/>
      <c r="AC87" s="207"/>
      <c r="AD87" s="199"/>
      <c r="AE87" s="199"/>
      <c r="AF87" s="199"/>
      <c r="AG87" s="199"/>
      <c r="AH87" s="199"/>
      <c r="AI87" s="199"/>
      <c r="AJ87" s="199"/>
      <c r="AK87" s="199"/>
      <c r="AL87" s="198"/>
      <c r="AM87" s="215"/>
      <c r="AN87" s="315"/>
      <c r="AO87" s="312"/>
      <c r="AP87" s="310"/>
      <c r="AQ87" s="316"/>
      <c r="AR87" s="230"/>
      <c r="AS87" s="251"/>
    </row>
    <row r="88" spans="1:45">
      <c r="A88" s="197"/>
      <c r="B88" s="206"/>
      <c r="C88" s="208"/>
      <c r="D88" s="274"/>
      <c r="E88" s="274"/>
      <c r="F88" s="274"/>
      <c r="G88" s="274"/>
      <c r="H88" s="274"/>
      <c r="I88" s="201"/>
      <c r="J88" s="201"/>
      <c r="K88" s="201"/>
      <c r="L88" s="201"/>
      <c r="M88" s="199"/>
      <c r="N88" s="199"/>
      <c r="O88" s="199"/>
      <c r="P88" s="199"/>
      <c r="Q88" s="199"/>
      <c r="R88" s="199"/>
      <c r="S88" s="201"/>
      <c r="T88" s="202"/>
      <c r="U88" s="274"/>
      <c r="V88" s="274"/>
      <c r="W88" s="274"/>
      <c r="X88" s="274"/>
      <c r="Y88" s="274"/>
      <c r="Z88" s="199"/>
      <c r="AA88" s="199"/>
      <c r="AB88" s="199"/>
      <c r="AC88" s="199"/>
      <c r="AD88" s="199"/>
      <c r="AE88" s="199"/>
      <c r="AF88" s="201"/>
      <c r="AG88" s="201"/>
      <c r="AH88" s="201"/>
      <c r="AI88" s="201"/>
      <c r="AJ88" s="201"/>
      <c r="AK88" s="201"/>
      <c r="AL88" s="198"/>
      <c r="AM88" s="215"/>
      <c r="AN88" s="216"/>
      <c r="AO88" s="218"/>
      <c r="AP88" s="218"/>
      <c r="AQ88" s="226"/>
      <c r="AR88" s="220"/>
      <c r="AS88" s="251"/>
    </row>
    <row r="89" spans="1:45">
      <c r="A89" s="197"/>
      <c r="B89" s="206"/>
      <c r="C89" s="208"/>
      <c r="D89" s="325"/>
      <c r="E89" s="325"/>
      <c r="F89" s="325"/>
      <c r="G89" s="325"/>
      <c r="H89" s="325"/>
      <c r="I89" s="201"/>
      <c r="J89" s="201"/>
      <c r="K89" s="201"/>
      <c r="L89" s="201"/>
      <c r="M89" s="199"/>
      <c r="N89" s="199"/>
      <c r="O89" s="199"/>
      <c r="P89" s="199"/>
      <c r="Q89" s="199"/>
      <c r="R89" s="199"/>
      <c r="S89" s="201"/>
      <c r="T89" s="202"/>
      <c r="U89" s="325"/>
      <c r="V89" s="325"/>
      <c r="W89" s="325"/>
      <c r="X89" s="325"/>
      <c r="Y89" s="325"/>
      <c r="Z89" s="199"/>
      <c r="AA89" s="199"/>
      <c r="AB89" s="199"/>
      <c r="AC89" s="199"/>
      <c r="AD89" s="199"/>
      <c r="AE89" s="199"/>
      <c r="AF89" s="201"/>
      <c r="AG89" s="201"/>
      <c r="AH89" s="201"/>
      <c r="AI89" s="201"/>
      <c r="AJ89" s="201"/>
      <c r="AK89" s="201"/>
      <c r="AL89" s="198"/>
      <c r="AM89" s="215"/>
      <c r="AN89" s="324"/>
      <c r="AO89" s="218"/>
      <c r="AP89" s="218"/>
      <c r="AQ89" s="226"/>
      <c r="AR89" s="220"/>
      <c r="AS89" s="251"/>
    </row>
    <row r="90" spans="1:45">
      <c r="A90" s="197"/>
      <c r="B90" s="206"/>
      <c r="C90" s="208"/>
      <c r="D90" s="274"/>
      <c r="E90" s="274"/>
      <c r="F90" s="274"/>
      <c r="G90" s="274"/>
      <c r="H90" s="274"/>
      <c r="I90" s="201"/>
      <c r="J90" s="199"/>
      <c r="K90" s="199"/>
      <c r="L90" s="201"/>
      <c r="M90" s="199"/>
      <c r="N90" s="199"/>
      <c r="O90" s="199"/>
      <c r="P90" s="199"/>
      <c r="Q90" s="199"/>
      <c r="R90" s="199"/>
      <c r="S90" s="201"/>
      <c r="T90" s="202"/>
      <c r="U90" s="274"/>
      <c r="V90" s="274"/>
      <c r="W90" s="274"/>
      <c r="X90" s="274"/>
      <c r="Y90" s="274"/>
      <c r="Z90" s="199"/>
      <c r="AA90" s="199"/>
      <c r="AB90" s="199"/>
      <c r="AC90" s="199"/>
      <c r="AD90" s="199"/>
      <c r="AE90" s="199"/>
      <c r="AF90" s="201"/>
      <c r="AG90" s="199"/>
      <c r="AH90" s="199"/>
      <c r="AI90" s="201"/>
      <c r="AJ90" s="201"/>
      <c r="AK90" s="201"/>
      <c r="AL90" s="198"/>
      <c r="AM90" s="215"/>
      <c r="AN90" s="216"/>
      <c r="AO90" s="218"/>
      <c r="AP90" s="218"/>
      <c r="AQ90" s="226"/>
      <c r="AR90" s="220"/>
      <c r="AS90" s="251"/>
    </row>
    <row r="91" spans="1:45">
      <c r="A91" s="197"/>
      <c r="B91" s="206"/>
      <c r="C91" s="208"/>
      <c r="D91" s="274"/>
      <c r="E91" s="274"/>
      <c r="F91" s="274"/>
      <c r="G91" s="274"/>
      <c r="H91" s="274"/>
      <c r="I91" s="201"/>
      <c r="J91" s="199"/>
      <c r="K91" s="199"/>
      <c r="L91" s="201"/>
      <c r="M91" s="199"/>
      <c r="N91" s="199"/>
      <c r="O91" s="199"/>
      <c r="P91" s="199"/>
      <c r="Q91" s="199"/>
      <c r="R91" s="199"/>
      <c r="S91" s="201"/>
      <c r="T91" s="202"/>
      <c r="U91" s="274"/>
      <c r="V91" s="274"/>
      <c r="W91" s="274"/>
      <c r="X91" s="274"/>
      <c r="Y91" s="274"/>
      <c r="Z91" s="199"/>
      <c r="AA91" s="199"/>
      <c r="AB91" s="199"/>
      <c r="AC91" s="199"/>
      <c r="AD91" s="274"/>
      <c r="AE91" s="274"/>
      <c r="AF91" s="201"/>
      <c r="AG91" s="199"/>
      <c r="AH91" s="199"/>
      <c r="AI91" s="201"/>
      <c r="AJ91" s="201"/>
      <c r="AK91" s="201"/>
      <c r="AL91" s="198"/>
      <c r="AM91" s="215"/>
      <c r="AN91" s="216"/>
      <c r="AO91" s="218"/>
      <c r="AP91" s="218"/>
      <c r="AQ91" s="226"/>
      <c r="AR91" s="220"/>
      <c r="AS91" s="251"/>
    </row>
    <row r="92" spans="1:45">
      <c r="A92" s="197"/>
      <c r="B92" s="208"/>
      <c r="C92" s="208"/>
      <c r="D92" s="274"/>
      <c r="E92" s="274"/>
      <c r="F92" s="274"/>
      <c r="G92" s="274"/>
      <c r="H92" s="274"/>
      <c r="I92" s="201"/>
      <c r="J92" s="201"/>
      <c r="K92" s="201"/>
      <c r="L92" s="201"/>
      <c r="M92" s="199"/>
      <c r="N92" s="199"/>
      <c r="O92" s="199"/>
      <c r="P92" s="199"/>
      <c r="Q92" s="199"/>
      <c r="R92" s="199"/>
      <c r="S92" s="201"/>
      <c r="T92" s="274"/>
      <c r="U92" s="274"/>
      <c r="V92" s="274"/>
      <c r="W92" s="274"/>
      <c r="X92" s="274"/>
      <c r="Y92" s="274"/>
      <c r="Z92" s="201"/>
      <c r="AA92" s="201"/>
      <c r="AB92" s="201"/>
      <c r="AC92" s="201"/>
      <c r="AD92" s="274"/>
      <c r="AE92" s="274"/>
      <c r="AF92" s="201"/>
      <c r="AG92" s="201"/>
      <c r="AH92" s="201"/>
      <c r="AI92" s="201"/>
      <c r="AJ92" s="201"/>
      <c r="AK92" s="201"/>
      <c r="AL92" s="198"/>
      <c r="AM92" s="215"/>
      <c r="AN92" s="216"/>
      <c r="AO92" s="218"/>
      <c r="AP92" s="218"/>
      <c r="AQ92" s="226"/>
      <c r="AR92" s="220"/>
      <c r="AS92" s="251"/>
    </row>
    <row r="93" spans="1:45">
      <c r="A93" s="197"/>
      <c r="B93" s="208"/>
      <c r="C93" s="208"/>
      <c r="D93" s="274"/>
      <c r="E93" s="274"/>
      <c r="F93" s="274"/>
      <c r="G93" s="274"/>
      <c r="H93" s="274"/>
      <c r="I93" s="201"/>
      <c r="J93" s="201"/>
      <c r="K93" s="201"/>
      <c r="L93" s="201"/>
      <c r="M93" s="199"/>
      <c r="N93" s="199"/>
      <c r="O93" s="199"/>
      <c r="P93" s="199"/>
      <c r="Q93" s="199"/>
      <c r="R93" s="199"/>
      <c r="S93" s="201"/>
      <c r="T93" s="274"/>
      <c r="U93" s="274"/>
      <c r="V93" s="274"/>
      <c r="W93" s="274"/>
      <c r="X93" s="274"/>
      <c r="Y93" s="274"/>
      <c r="Z93" s="201"/>
      <c r="AA93" s="201"/>
      <c r="AB93" s="201"/>
      <c r="AC93" s="201"/>
      <c r="AD93" s="274"/>
      <c r="AE93" s="274"/>
      <c r="AF93" s="201"/>
      <c r="AG93" s="201"/>
      <c r="AH93" s="201"/>
      <c r="AI93" s="201"/>
      <c r="AJ93" s="201"/>
      <c r="AK93" s="201"/>
      <c r="AL93" s="198"/>
      <c r="AM93" s="215"/>
      <c r="AN93" s="216"/>
      <c r="AO93" s="218"/>
      <c r="AP93" s="218"/>
      <c r="AQ93" s="226"/>
      <c r="AR93" s="220"/>
      <c r="AS93" s="251"/>
    </row>
    <row r="94" spans="1:45">
      <c r="A94" s="197"/>
      <c r="B94" s="208"/>
      <c r="C94" s="208"/>
      <c r="D94" s="274"/>
      <c r="E94" s="274"/>
      <c r="F94" s="274"/>
      <c r="G94" s="274"/>
      <c r="H94" s="274"/>
      <c r="I94" s="201"/>
      <c r="J94" s="201"/>
      <c r="K94" s="201"/>
      <c r="L94" s="201"/>
      <c r="M94" s="199"/>
      <c r="N94" s="199"/>
      <c r="O94" s="199"/>
      <c r="P94" s="199"/>
      <c r="Q94" s="199"/>
      <c r="R94" s="199"/>
      <c r="S94" s="201"/>
      <c r="T94" s="274"/>
      <c r="U94" s="274"/>
      <c r="V94" s="274"/>
      <c r="W94" s="274"/>
      <c r="X94" s="274"/>
      <c r="Y94" s="274"/>
      <c r="Z94" s="201"/>
      <c r="AA94" s="201"/>
      <c r="AB94" s="201"/>
      <c r="AC94" s="201"/>
      <c r="AD94" s="274"/>
      <c r="AE94" s="274"/>
      <c r="AF94" s="201"/>
      <c r="AG94" s="201"/>
      <c r="AH94" s="201"/>
      <c r="AI94" s="201"/>
      <c r="AJ94" s="201"/>
      <c r="AK94" s="201"/>
      <c r="AL94" s="198"/>
      <c r="AM94" s="215"/>
      <c r="AN94" s="216"/>
      <c r="AO94" s="218"/>
      <c r="AP94" s="218"/>
      <c r="AQ94" s="226"/>
      <c r="AR94" s="220"/>
      <c r="AS94" s="251"/>
    </row>
    <row r="95" spans="1:45">
      <c r="A95" s="197"/>
      <c r="B95" s="208"/>
      <c r="C95" s="208"/>
      <c r="D95" s="274"/>
      <c r="E95" s="274"/>
      <c r="F95" s="274"/>
      <c r="G95" s="274"/>
      <c r="H95" s="274"/>
      <c r="I95" s="201"/>
      <c r="J95" s="201"/>
      <c r="K95" s="201"/>
      <c r="L95" s="201"/>
      <c r="M95" s="199"/>
      <c r="N95" s="199"/>
      <c r="O95" s="199"/>
      <c r="P95" s="199"/>
      <c r="Q95" s="199"/>
      <c r="R95" s="199"/>
      <c r="S95" s="201"/>
      <c r="T95" s="274"/>
      <c r="U95" s="274"/>
      <c r="V95" s="274"/>
      <c r="W95" s="274"/>
      <c r="X95" s="274"/>
      <c r="Y95" s="274"/>
      <c r="Z95" s="201"/>
      <c r="AA95" s="201"/>
      <c r="AB95" s="201"/>
      <c r="AC95" s="201"/>
      <c r="AD95" s="274"/>
      <c r="AE95" s="274"/>
      <c r="AF95" s="201"/>
      <c r="AG95" s="201"/>
      <c r="AH95" s="201"/>
      <c r="AI95" s="201"/>
      <c r="AJ95" s="201"/>
      <c r="AK95" s="201"/>
      <c r="AL95" s="198"/>
      <c r="AM95" s="215"/>
      <c r="AN95" s="216"/>
      <c r="AO95" s="218"/>
      <c r="AP95" s="218"/>
      <c r="AQ95" s="226"/>
      <c r="AR95" s="220"/>
      <c r="AS95" s="251"/>
    </row>
    <row r="96" spans="1:45">
      <c r="A96" s="197"/>
      <c r="B96" s="208"/>
      <c r="C96" s="208"/>
      <c r="D96" s="274"/>
      <c r="E96" s="274"/>
      <c r="F96" s="274"/>
      <c r="G96" s="274"/>
      <c r="H96" s="274"/>
      <c r="I96" s="201"/>
      <c r="J96" s="201"/>
      <c r="K96" s="201"/>
      <c r="L96" s="201"/>
      <c r="M96" s="199"/>
      <c r="N96" s="199"/>
      <c r="O96" s="199"/>
      <c r="P96" s="199"/>
      <c r="Q96" s="199"/>
      <c r="R96" s="199"/>
      <c r="S96" s="201"/>
      <c r="T96" s="274"/>
      <c r="U96" s="274"/>
      <c r="V96" s="274"/>
      <c r="W96" s="274"/>
      <c r="X96" s="274"/>
      <c r="Y96" s="274"/>
      <c r="Z96" s="201"/>
      <c r="AA96" s="201"/>
      <c r="AB96" s="201"/>
      <c r="AC96" s="201"/>
      <c r="AD96" s="274"/>
      <c r="AE96" s="274"/>
      <c r="AF96" s="201"/>
      <c r="AG96" s="201"/>
      <c r="AH96" s="201"/>
      <c r="AI96" s="201"/>
      <c r="AJ96" s="201"/>
      <c r="AK96" s="201"/>
      <c r="AL96" s="198"/>
      <c r="AM96" s="215"/>
      <c r="AN96" s="216"/>
      <c r="AO96" s="218"/>
      <c r="AP96" s="218"/>
      <c r="AQ96" s="226"/>
      <c r="AR96" s="220"/>
      <c r="AS96" s="251"/>
    </row>
    <row r="97" spans="1:45">
      <c r="A97" s="197"/>
      <c r="B97" s="208"/>
      <c r="C97" s="208"/>
      <c r="D97" s="274"/>
      <c r="E97" s="274"/>
      <c r="F97" s="274"/>
      <c r="G97" s="274"/>
      <c r="H97" s="274"/>
      <c r="I97" s="201"/>
      <c r="J97" s="201"/>
      <c r="K97" s="201"/>
      <c r="L97" s="201"/>
      <c r="M97" s="199"/>
      <c r="N97" s="199"/>
      <c r="O97" s="199"/>
      <c r="P97" s="199"/>
      <c r="Q97" s="199"/>
      <c r="R97" s="199"/>
      <c r="S97" s="201"/>
      <c r="T97" s="274"/>
      <c r="U97" s="274"/>
      <c r="V97" s="274"/>
      <c r="W97" s="274"/>
      <c r="X97" s="274"/>
      <c r="Y97" s="274"/>
      <c r="Z97" s="201"/>
      <c r="AA97" s="201"/>
      <c r="AB97" s="201"/>
      <c r="AC97" s="201"/>
      <c r="AD97" s="274"/>
      <c r="AE97" s="274"/>
      <c r="AF97" s="201"/>
      <c r="AG97" s="201"/>
      <c r="AH97" s="201"/>
      <c r="AI97" s="201"/>
      <c r="AJ97" s="201"/>
      <c r="AK97" s="201"/>
      <c r="AL97" s="198"/>
      <c r="AM97" s="215"/>
      <c r="AN97" s="216"/>
      <c r="AO97" s="218"/>
      <c r="AP97" s="218"/>
      <c r="AQ97" s="226"/>
      <c r="AR97" s="220"/>
      <c r="AS97" s="251"/>
    </row>
    <row r="98" spans="1:45">
      <c r="A98" s="197"/>
      <c r="B98" s="208"/>
      <c r="C98" s="208"/>
      <c r="D98" s="274"/>
      <c r="E98" s="274"/>
      <c r="F98" s="274"/>
      <c r="G98" s="274"/>
      <c r="H98" s="274"/>
      <c r="I98" s="201"/>
      <c r="J98" s="201"/>
      <c r="K98" s="201"/>
      <c r="L98" s="201"/>
      <c r="M98" s="199"/>
      <c r="N98" s="199"/>
      <c r="O98" s="199"/>
      <c r="P98" s="199"/>
      <c r="Q98" s="199"/>
      <c r="R98" s="199"/>
      <c r="S98" s="201"/>
      <c r="T98" s="274"/>
      <c r="U98" s="274"/>
      <c r="V98" s="274"/>
      <c r="W98" s="274"/>
      <c r="X98" s="274"/>
      <c r="Y98" s="274"/>
      <c r="Z98" s="201"/>
      <c r="AA98" s="201"/>
      <c r="AB98" s="201"/>
      <c r="AC98" s="201"/>
      <c r="AD98" s="274"/>
      <c r="AE98" s="274"/>
      <c r="AF98" s="201"/>
      <c r="AG98" s="201"/>
      <c r="AH98" s="201"/>
      <c r="AI98" s="201"/>
      <c r="AJ98" s="201"/>
      <c r="AK98" s="201"/>
      <c r="AL98" s="198"/>
      <c r="AM98" s="215"/>
      <c r="AN98" s="216"/>
      <c r="AO98" s="218"/>
      <c r="AP98" s="218"/>
      <c r="AQ98" s="226"/>
      <c r="AR98" s="220"/>
      <c r="AS98" s="251"/>
    </row>
    <row r="99" spans="1:45">
      <c r="A99" s="197"/>
      <c r="B99" s="208"/>
      <c r="C99" s="208"/>
      <c r="D99" s="274"/>
      <c r="E99" s="274"/>
      <c r="F99" s="274"/>
      <c r="G99" s="274"/>
      <c r="H99" s="274"/>
      <c r="I99" s="201"/>
      <c r="J99" s="201"/>
      <c r="K99" s="201"/>
      <c r="L99" s="201"/>
      <c r="M99" s="199"/>
      <c r="N99" s="199"/>
      <c r="O99" s="199"/>
      <c r="P99" s="199"/>
      <c r="Q99" s="199"/>
      <c r="R99" s="199"/>
      <c r="S99" s="201"/>
      <c r="T99" s="274"/>
      <c r="U99" s="274"/>
      <c r="V99" s="274"/>
      <c r="W99" s="274"/>
      <c r="X99" s="274"/>
      <c r="Y99" s="274"/>
      <c r="Z99" s="201"/>
      <c r="AA99" s="201"/>
      <c r="AB99" s="201"/>
      <c r="AC99" s="201"/>
      <c r="AD99" s="274"/>
      <c r="AE99" s="274"/>
      <c r="AF99" s="201"/>
      <c r="AG99" s="201"/>
      <c r="AH99" s="201"/>
      <c r="AI99" s="201"/>
      <c r="AJ99" s="201"/>
      <c r="AK99" s="201"/>
      <c r="AL99" s="198"/>
      <c r="AM99" s="215"/>
      <c r="AN99" s="216"/>
      <c r="AO99" s="218"/>
      <c r="AP99" s="218"/>
      <c r="AQ99" s="226"/>
      <c r="AR99" s="220"/>
      <c r="AS99" s="251"/>
    </row>
    <row r="100" spans="1:45">
      <c r="A100" s="197"/>
      <c r="B100" s="208"/>
      <c r="C100" s="208"/>
      <c r="D100" s="274"/>
      <c r="E100" s="274"/>
      <c r="F100" s="274"/>
      <c r="G100" s="274"/>
      <c r="H100" s="274"/>
      <c r="I100" s="201"/>
      <c r="J100" s="201"/>
      <c r="K100" s="201"/>
      <c r="L100" s="201"/>
      <c r="M100" s="199"/>
      <c r="N100" s="199"/>
      <c r="O100" s="199"/>
      <c r="P100" s="199"/>
      <c r="Q100" s="199"/>
      <c r="R100" s="199"/>
      <c r="S100" s="201"/>
      <c r="T100" s="274"/>
      <c r="U100" s="274"/>
      <c r="V100" s="274"/>
      <c r="W100" s="274"/>
      <c r="X100" s="274"/>
      <c r="Y100" s="274"/>
      <c r="Z100" s="201"/>
      <c r="AA100" s="201"/>
      <c r="AB100" s="201"/>
      <c r="AC100" s="201"/>
      <c r="AD100" s="274"/>
      <c r="AE100" s="274"/>
      <c r="AF100" s="201"/>
      <c r="AG100" s="201"/>
      <c r="AH100" s="201"/>
      <c r="AI100" s="201"/>
      <c r="AJ100" s="201"/>
      <c r="AK100" s="201"/>
      <c r="AL100" s="198"/>
      <c r="AM100" s="215"/>
      <c r="AN100" s="216"/>
      <c r="AO100" s="218"/>
      <c r="AP100" s="218"/>
      <c r="AQ100" s="226"/>
      <c r="AR100" s="220"/>
      <c r="AS100" s="251"/>
    </row>
    <row r="101" spans="1:45">
      <c r="A101" s="197"/>
      <c r="B101" s="208"/>
      <c r="C101" s="208"/>
      <c r="D101" s="274"/>
      <c r="E101" s="274"/>
      <c r="F101" s="274"/>
      <c r="G101" s="274"/>
      <c r="H101" s="274"/>
      <c r="I101" s="201"/>
      <c r="J101" s="201"/>
      <c r="K101" s="201"/>
      <c r="L101" s="201"/>
      <c r="M101" s="199"/>
      <c r="N101" s="199"/>
      <c r="O101" s="199"/>
      <c r="P101" s="199"/>
      <c r="Q101" s="199"/>
      <c r="R101" s="199"/>
      <c r="S101" s="201"/>
      <c r="T101" s="274"/>
      <c r="U101" s="274"/>
      <c r="V101" s="274"/>
      <c r="W101" s="274"/>
      <c r="X101" s="274"/>
      <c r="Y101" s="274"/>
      <c r="Z101" s="201"/>
      <c r="AA101" s="201"/>
      <c r="AB101" s="201"/>
      <c r="AC101" s="201"/>
      <c r="AD101" s="274"/>
      <c r="AE101" s="274"/>
      <c r="AF101" s="201"/>
      <c r="AG101" s="201"/>
      <c r="AH101" s="201"/>
      <c r="AI101" s="201"/>
      <c r="AJ101" s="201"/>
      <c r="AK101" s="201"/>
      <c r="AL101" s="198"/>
      <c r="AM101" s="215"/>
      <c r="AN101" s="216"/>
      <c r="AO101" s="218"/>
      <c r="AP101" s="218"/>
      <c r="AQ101" s="226"/>
      <c r="AR101" s="220"/>
      <c r="AS101" s="251"/>
    </row>
    <row r="102" spans="1:45">
      <c r="A102" s="197"/>
      <c r="B102" s="208"/>
      <c r="C102" s="208"/>
      <c r="D102" s="274"/>
      <c r="E102" s="274"/>
      <c r="F102" s="274"/>
      <c r="G102" s="274"/>
      <c r="H102" s="274"/>
      <c r="I102" s="201"/>
      <c r="J102" s="201"/>
      <c r="K102" s="201"/>
      <c r="L102" s="201"/>
      <c r="M102" s="199"/>
      <c r="N102" s="199"/>
      <c r="O102" s="199"/>
      <c r="P102" s="199"/>
      <c r="Q102" s="199"/>
      <c r="R102" s="199"/>
      <c r="S102" s="201"/>
      <c r="T102" s="274"/>
      <c r="U102" s="274"/>
      <c r="V102" s="274"/>
      <c r="W102" s="274"/>
      <c r="X102" s="274"/>
      <c r="Y102" s="274"/>
      <c r="Z102" s="201"/>
      <c r="AA102" s="201"/>
      <c r="AB102" s="201"/>
      <c r="AC102" s="201"/>
      <c r="AD102" s="274"/>
      <c r="AE102" s="274"/>
      <c r="AF102" s="201"/>
      <c r="AG102" s="201"/>
      <c r="AH102" s="201"/>
      <c r="AI102" s="201"/>
      <c r="AJ102" s="201"/>
      <c r="AK102" s="201"/>
      <c r="AL102" s="198"/>
      <c r="AM102" s="215"/>
      <c r="AN102" s="216"/>
      <c r="AO102" s="218"/>
      <c r="AP102" s="218"/>
      <c r="AQ102" s="226"/>
      <c r="AR102" s="220"/>
      <c r="AS102" s="251"/>
    </row>
    <row r="103" spans="1:45">
      <c r="A103" s="197"/>
      <c r="B103" s="208"/>
      <c r="C103" s="208"/>
      <c r="D103" s="274"/>
      <c r="E103" s="274"/>
      <c r="F103" s="274"/>
      <c r="G103" s="274"/>
      <c r="H103" s="274"/>
      <c r="I103" s="201"/>
      <c r="J103" s="201"/>
      <c r="K103" s="201"/>
      <c r="L103" s="201"/>
      <c r="M103" s="199"/>
      <c r="N103" s="199"/>
      <c r="O103" s="199"/>
      <c r="P103" s="199"/>
      <c r="Q103" s="199"/>
      <c r="R103" s="199"/>
      <c r="S103" s="201"/>
      <c r="T103" s="274"/>
      <c r="U103" s="274"/>
      <c r="V103" s="274"/>
      <c r="W103" s="274"/>
      <c r="X103" s="274"/>
      <c r="Y103" s="274"/>
      <c r="Z103" s="201"/>
      <c r="AA103" s="201"/>
      <c r="AB103" s="201"/>
      <c r="AC103" s="201"/>
      <c r="AD103" s="274"/>
      <c r="AE103" s="274"/>
      <c r="AF103" s="201"/>
      <c r="AG103" s="201"/>
      <c r="AH103" s="201"/>
      <c r="AI103" s="201"/>
      <c r="AJ103" s="201"/>
      <c r="AK103" s="201"/>
      <c r="AL103" s="198"/>
      <c r="AM103" s="215"/>
      <c r="AN103" s="216"/>
      <c r="AO103" s="218"/>
      <c r="AP103" s="218"/>
      <c r="AQ103" s="226"/>
      <c r="AR103" s="220"/>
      <c r="AS103" s="251"/>
    </row>
    <row r="104" spans="1:45" ht="15" customHeight="1">
      <c r="A104" s="197"/>
      <c r="B104" s="208"/>
      <c r="C104" s="208"/>
      <c r="D104" s="274"/>
      <c r="E104" s="274"/>
      <c r="F104" s="274"/>
      <c r="G104" s="274"/>
      <c r="H104" s="274"/>
      <c r="I104" s="201"/>
      <c r="J104" s="201"/>
      <c r="K104" s="201"/>
      <c r="L104" s="201"/>
      <c r="M104" s="199"/>
      <c r="N104" s="199"/>
      <c r="O104" s="199"/>
      <c r="P104" s="199"/>
      <c r="Q104" s="199"/>
      <c r="R104" s="199"/>
      <c r="S104" s="201"/>
      <c r="T104" s="274"/>
      <c r="U104" s="274"/>
      <c r="V104" s="274"/>
      <c r="W104" s="274"/>
      <c r="X104" s="274"/>
      <c r="Y104" s="274"/>
      <c r="Z104" s="201"/>
      <c r="AA104" s="201"/>
      <c r="AB104" s="201"/>
      <c r="AC104" s="201"/>
      <c r="AD104" s="274"/>
      <c r="AE104" s="274"/>
      <c r="AF104" s="201"/>
      <c r="AG104" s="201"/>
      <c r="AH104" s="201"/>
      <c r="AI104" s="201"/>
      <c r="AJ104" s="201"/>
      <c r="AK104" s="201"/>
      <c r="AL104" s="198"/>
      <c r="AM104" s="215"/>
      <c r="AN104" s="216"/>
      <c r="AO104" s="218"/>
      <c r="AP104" s="218"/>
      <c r="AQ104" s="226"/>
      <c r="AR104" s="220"/>
      <c r="AS104" s="251"/>
    </row>
    <row r="105" spans="1:45" ht="15" customHeight="1">
      <c r="A105" s="197"/>
      <c r="B105" s="208"/>
      <c r="C105" s="208"/>
      <c r="D105" s="274"/>
      <c r="E105" s="274"/>
      <c r="F105" s="274"/>
      <c r="G105" s="274"/>
      <c r="H105" s="274"/>
      <c r="I105" s="201"/>
      <c r="J105" s="201"/>
      <c r="K105" s="201"/>
      <c r="L105" s="201"/>
      <c r="M105" s="199"/>
      <c r="N105" s="199"/>
      <c r="O105" s="199"/>
      <c r="P105" s="199"/>
      <c r="Q105" s="199"/>
      <c r="R105" s="199"/>
      <c r="S105" s="201"/>
      <c r="T105" s="274"/>
      <c r="U105" s="274"/>
      <c r="V105" s="274"/>
      <c r="W105" s="274"/>
      <c r="X105" s="274"/>
      <c r="Y105" s="274"/>
      <c r="Z105" s="201"/>
      <c r="AA105" s="201"/>
      <c r="AB105" s="201"/>
      <c r="AC105" s="201"/>
      <c r="AD105" s="274"/>
      <c r="AE105" s="274"/>
      <c r="AF105" s="201"/>
      <c r="AG105" s="201"/>
      <c r="AH105" s="201"/>
      <c r="AI105" s="201"/>
      <c r="AJ105" s="201"/>
      <c r="AK105" s="201"/>
      <c r="AL105" s="198"/>
      <c r="AM105" s="215"/>
      <c r="AN105" s="216"/>
      <c r="AO105" s="218"/>
      <c r="AP105" s="218"/>
      <c r="AQ105" s="226"/>
      <c r="AR105" s="220"/>
      <c r="AS105" s="251"/>
    </row>
    <row r="106" spans="1:45">
      <c r="A106" s="231"/>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3"/>
      <c r="AN106" s="234"/>
      <c r="AO106" s="235"/>
      <c r="AP106" s="234"/>
      <c r="AQ106" s="234"/>
      <c r="AR106" s="236"/>
      <c r="AS106" s="251"/>
    </row>
    <row r="107" spans="1:45" ht="15">
      <c r="A107" s="1089" t="s">
        <v>355</v>
      </c>
      <c r="B107" s="1090"/>
      <c r="C107" s="1090"/>
      <c r="D107" s="1090"/>
      <c r="E107" s="1090"/>
      <c r="F107" s="1090"/>
      <c r="G107" s="1090"/>
      <c r="H107" s="1090"/>
      <c r="I107" s="1090"/>
      <c r="J107" s="1090"/>
      <c r="K107" s="1090"/>
      <c r="L107" s="1090"/>
      <c r="M107" s="1090"/>
      <c r="N107" s="1090"/>
      <c r="O107" s="1090"/>
      <c r="P107" s="1090"/>
      <c r="Q107" s="1090"/>
      <c r="R107" s="1090"/>
      <c r="S107" s="1090"/>
      <c r="T107" s="1090"/>
      <c r="U107" s="1090"/>
      <c r="V107" s="1090"/>
      <c r="W107" s="1090"/>
      <c r="X107" s="1090"/>
      <c r="Y107" s="1090"/>
      <c r="Z107" s="1090"/>
      <c r="AA107" s="1090"/>
      <c r="AB107" s="1090"/>
      <c r="AC107" s="1090"/>
      <c r="AD107" s="1090"/>
      <c r="AE107" s="1090"/>
      <c r="AF107" s="1090"/>
      <c r="AG107" s="1090"/>
      <c r="AH107" s="1090"/>
      <c r="AI107" s="1090"/>
      <c r="AJ107" s="1090"/>
      <c r="AK107" s="1090"/>
      <c r="AL107" s="1090"/>
      <c r="AM107" s="1090"/>
      <c r="AN107" s="1091" t="s">
        <v>356</v>
      </c>
      <c r="AO107" s="1092"/>
      <c r="AP107" s="1092"/>
      <c r="AQ107" s="1092"/>
      <c r="AR107" s="1092"/>
      <c r="AS107" s="252">
        <f>SUM(AS72:AS106)</f>
        <v>27.000000000000004</v>
      </c>
    </row>
    <row r="108" spans="1:45" ht="15">
      <c r="A108" s="1089"/>
      <c r="B108" s="1090"/>
      <c r="C108" s="1090"/>
      <c r="D108" s="1090"/>
      <c r="E108" s="1090"/>
      <c r="F108" s="1090"/>
      <c r="G108" s="1090"/>
      <c r="H108" s="1090"/>
      <c r="I108" s="1090"/>
      <c r="J108" s="1090"/>
      <c r="K108" s="1090"/>
      <c r="L108" s="1090"/>
      <c r="M108" s="1090"/>
      <c r="N108" s="1090"/>
      <c r="O108" s="1090"/>
      <c r="P108" s="1090"/>
      <c r="Q108" s="1090"/>
      <c r="R108" s="1090"/>
      <c r="S108" s="1090"/>
      <c r="T108" s="1090"/>
      <c r="U108" s="1090"/>
      <c r="V108" s="1090"/>
      <c r="W108" s="1090"/>
      <c r="X108" s="1090"/>
      <c r="Y108" s="1090"/>
      <c r="Z108" s="1090"/>
      <c r="AA108" s="1090"/>
      <c r="AB108" s="1090"/>
      <c r="AC108" s="1090"/>
      <c r="AD108" s="1090"/>
      <c r="AE108" s="1090"/>
      <c r="AF108" s="1090"/>
      <c r="AG108" s="1090"/>
      <c r="AH108" s="1090"/>
      <c r="AI108" s="1090"/>
      <c r="AJ108" s="1090"/>
      <c r="AK108" s="1090"/>
      <c r="AL108" s="1090"/>
      <c r="AM108" s="1090"/>
      <c r="AN108" s="1093" t="s">
        <v>357</v>
      </c>
      <c r="AO108" s="1092"/>
      <c r="AP108" s="1092"/>
      <c r="AQ108" s="1092"/>
      <c r="AR108" s="1092"/>
      <c r="AS108" s="252"/>
    </row>
    <row r="109" spans="1:45" ht="18">
      <c r="A109" s="1089"/>
      <c r="B109" s="1090"/>
      <c r="C109" s="1090"/>
      <c r="D109" s="1090"/>
      <c r="E109" s="1090"/>
      <c r="F109" s="1090"/>
      <c r="G109" s="1090"/>
      <c r="H109" s="1090"/>
      <c r="I109" s="1090"/>
      <c r="J109" s="1090"/>
      <c r="K109" s="1090"/>
      <c r="L109" s="1090"/>
      <c r="M109" s="1090"/>
      <c r="N109" s="1090"/>
      <c r="O109" s="1090"/>
      <c r="P109" s="1090"/>
      <c r="Q109" s="1090"/>
      <c r="R109" s="1090"/>
      <c r="S109" s="1090"/>
      <c r="T109" s="1090"/>
      <c r="U109" s="1090"/>
      <c r="V109" s="1090"/>
      <c r="W109" s="1090"/>
      <c r="X109" s="1090"/>
      <c r="Y109" s="1090"/>
      <c r="Z109" s="1090"/>
      <c r="AA109" s="1090"/>
      <c r="AB109" s="1090"/>
      <c r="AC109" s="1090"/>
      <c r="AD109" s="1090"/>
      <c r="AE109" s="1090"/>
      <c r="AF109" s="1090"/>
      <c r="AG109" s="1090"/>
      <c r="AH109" s="1090"/>
      <c r="AI109" s="1090"/>
      <c r="AJ109" s="1090"/>
      <c r="AK109" s="1090"/>
      <c r="AL109" s="1090"/>
      <c r="AM109" s="1090"/>
      <c r="AN109" s="1094" t="s">
        <v>358</v>
      </c>
      <c r="AO109" s="1095"/>
      <c r="AP109" s="1095"/>
      <c r="AQ109" s="1095"/>
      <c r="AR109" s="1095"/>
      <c r="AS109" s="254">
        <f>SUM(AS107:AS108)</f>
        <v>27.000000000000004</v>
      </c>
    </row>
    <row r="110" spans="1:45" ht="15" customHeight="1">
      <c r="A110" s="255"/>
      <c r="B110" s="238"/>
      <c r="C110" s="238"/>
      <c r="D110" s="238"/>
      <c r="E110" s="238"/>
      <c r="F110" s="238"/>
      <c r="G110" s="238"/>
      <c r="H110" s="238"/>
      <c r="I110" s="238"/>
      <c r="J110" s="238"/>
      <c r="K110" s="238"/>
      <c r="L110" s="238"/>
      <c r="M110" s="238"/>
      <c r="N110" s="238"/>
      <c r="O110" s="238"/>
      <c r="P110" s="238"/>
      <c r="Q110" s="238"/>
      <c r="R110" s="238"/>
      <c r="S110" s="238"/>
      <c r="T110" s="238"/>
      <c r="U110" s="238"/>
      <c r="V110" s="238"/>
      <c r="W110" s="238"/>
      <c r="X110" s="238"/>
      <c r="Y110" s="238"/>
      <c r="Z110" s="238"/>
      <c r="AA110" s="238"/>
      <c r="AB110" s="238"/>
      <c r="AC110" s="238"/>
      <c r="AD110" s="238"/>
      <c r="AE110" s="238"/>
      <c r="AF110" s="238"/>
      <c r="AG110" s="238"/>
      <c r="AH110" s="238"/>
      <c r="AI110" s="238"/>
      <c r="AJ110" s="238"/>
      <c r="AK110" s="238"/>
      <c r="AL110" s="238"/>
      <c r="AM110" s="237"/>
      <c r="AN110" s="240"/>
      <c r="AO110" s="241"/>
      <c r="AP110" s="241"/>
      <c r="AQ110" s="241"/>
      <c r="AR110" s="241"/>
      <c r="AS110" s="256"/>
    </row>
    <row r="111" spans="1:45">
      <c r="A111" s="257"/>
      <c r="B111" s="272" t="s">
        <v>359</v>
      </c>
      <c r="C111" s="192"/>
      <c r="D111" s="192"/>
      <c r="E111" s="192"/>
      <c r="F111" s="192"/>
      <c r="G111" s="192"/>
      <c r="H111" s="192"/>
      <c r="I111" s="1096"/>
      <c r="J111" s="1096"/>
      <c r="K111" s="1096"/>
      <c r="L111" s="1096"/>
      <c r="M111" s="1096"/>
      <c r="N111" s="1096"/>
      <c r="O111" s="1096"/>
      <c r="P111" s="1096"/>
      <c r="Q111" s="1096"/>
      <c r="R111" s="1096"/>
      <c r="S111" s="1096"/>
      <c r="T111" s="1096"/>
      <c r="U111" s="1096"/>
      <c r="V111" s="1096"/>
      <c r="W111" s="1096"/>
      <c r="X111" s="1096"/>
      <c r="Y111" s="1096"/>
      <c r="Z111" s="192"/>
      <c r="AA111" s="192"/>
      <c r="AB111" s="192"/>
      <c r="AC111" s="192"/>
      <c r="AD111" s="192"/>
      <c r="AE111" s="192"/>
      <c r="AF111" s="192"/>
      <c r="AG111" s="192"/>
      <c r="AH111" s="192"/>
      <c r="AI111" s="192"/>
      <c r="AJ111" s="192"/>
      <c r="AK111" s="192"/>
      <c r="AL111" s="192"/>
      <c r="AM111" s="239"/>
      <c r="AN111" s="242" t="s">
        <v>360</v>
      </c>
      <c r="AO111" s="1096"/>
      <c r="AP111" s="1096"/>
      <c r="AQ111" s="1096"/>
      <c r="AR111" s="1096"/>
      <c r="AS111" s="258"/>
    </row>
    <row r="112" spans="1:45" ht="13.5" thickBot="1">
      <c r="A112" s="259"/>
      <c r="B112" s="273" t="s">
        <v>338</v>
      </c>
      <c r="C112" s="260"/>
      <c r="D112" s="260"/>
      <c r="E112" s="260"/>
      <c r="F112" s="260"/>
      <c r="G112" s="302"/>
      <c r="H112" s="260"/>
      <c r="I112" s="1087"/>
      <c r="J112" s="1087"/>
      <c r="K112" s="1087"/>
      <c r="L112" s="1087"/>
      <c r="M112" s="1087"/>
      <c r="N112" s="1087"/>
      <c r="O112" s="1087"/>
      <c r="P112" s="1087"/>
      <c r="Q112" s="1087"/>
      <c r="R112" s="1087"/>
      <c r="S112" s="1087"/>
      <c r="T112" s="1087"/>
      <c r="U112" s="1087"/>
      <c r="V112" s="1087"/>
      <c r="W112" s="1087"/>
      <c r="X112" s="1087"/>
      <c r="Y112" s="1087"/>
      <c r="Z112" s="260"/>
      <c r="AA112" s="260"/>
      <c r="AB112" s="260"/>
      <c r="AC112" s="260"/>
      <c r="AD112" s="260"/>
      <c r="AE112" s="260"/>
      <c r="AF112" s="260"/>
      <c r="AG112" s="260"/>
      <c r="AH112" s="260"/>
      <c r="AI112" s="260"/>
      <c r="AJ112" s="260"/>
      <c r="AK112" s="260"/>
      <c r="AL112" s="260"/>
      <c r="AM112" s="261"/>
      <c r="AN112" s="262" t="s">
        <v>339</v>
      </c>
      <c r="AO112" s="1088"/>
      <c r="AP112" s="1088"/>
      <c r="AQ112" s="1088"/>
      <c r="AR112" s="1088"/>
      <c r="AS112" s="263"/>
    </row>
  </sheetData>
  <mergeCells count="76">
    <mergeCell ref="AR1:AS1"/>
    <mergeCell ref="AN14:AN15"/>
    <mergeCell ref="AO14:AQ14"/>
    <mergeCell ref="AR14:AR15"/>
    <mergeCell ref="AS14:AS15"/>
    <mergeCell ref="AP12:AP13"/>
    <mergeCell ref="AQ12:AQ13"/>
    <mergeCell ref="AR12:AS13"/>
    <mergeCell ref="D8:W10"/>
    <mergeCell ref="AI8:AO8"/>
    <mergeCell ref="AI9:AO9"/>
    <mergeCell ref="AI10:AO10"/>
    <mergeCell ref="AR2:AS2"/>
    <mergeCell ref="AR3:AS3"/>
    <mergeCell ref="AP4:AS8"/>
    <mergeCell ref="AP9:AS10"/>
    <mergeCell ref="AI2:AO2"/>
    <mergeCell ref="AI4:AO4"/>
    <mergeCell ref="AI3:AO3"/>
    <mergeCell ref="AI5:AO5"/>
    <mergeCell ref="AI6:AO6"/>
    <mergeCell ref="AI7:AO7"/>
    <mergeCell ref="A1:W7"/>
    <mergeCell ref="X1:AO1"/>
    <mergeCell ref="A57:W63"/>
    <mergeCell ref="X57:AO57"/>
    <mergeCell ref="Y78:AA78"/>
    <mergeCell ref="AI61:AO61"/>
    <mergeCell ref="AI58:AO58"/>
    <mergeCell ref="AI59:AO59"/>
    <mergeCell ref="AI60:AO60"/>
    <mergeCell ref="D64:W66"/>
    <mergeCell ref="AI65:AO65"/>
    <mergeCell ref="AN70:AN71"/>
    <mergeCell ref="AO70:AQ70"/>
    <mergeCell ref="AP65:AS66"/>
    <mergeCell ref="AI66:AO66"/>
    <mergeCell ref="A68:E69"/>
    <mergeCell ref="F68:W69"/>
    <mergeCell ref="X68:Z69"/>
    <mergeCell ref="I55:Y55"/>
    <mergeCell ref="I56:Y56"/>
    <mergeCell ref="AO55:AR55"/>
    <mergeCell ref="AO56:AR56"/>
    <mergeCell ref="Y22:AA22"/>
    <mergeCell ref="A51:AM53"/>
    <mergeCell ref="AN51:AR51"/>
    <mergeCell ref="AN52:AR52"/>
    <mergeCell ref="AN53:AR53"/>
    <mergeCell ref="A12:E13"/>
    <mergeCell ref="F12:W13"/>
    <mergeCell ref="X12:Z13"/>
    <mergeCell ref="AA12:AN13"/>
    <mergeCell ref="AO12:AO13"/>
    <mergeCell ref="AR57:AS57"/>
    <mergeCell ref="AR58:AS58"/>
    <mergeCell ref="AR59:AS59"/>
    <mergeCell ref="AP60:AS64"/>
    <mergeCell ref="AI62:AO62"/>
    <mergeCell ref="AI63:AO63"/>
    <mergeCell ref="AI64:AO64"/>
    <mergeCell ref="AA68:AN69"/>
    <mergeCell ref="AO68:AO69"/>
    <mergeCell ref="AP68:AP69"/>
    <mergeCell ref="AQ68:AQ69"/>
    <mergeCell ref="AR68:AS69"/>
    <mergeCell ref="AR70:AR71"/>
    <mergeCell ref="AS70:AS71"/>
    <mergeCell ref="I112:Y112"/>
    <mergeCell ref="AO112:AR112"/>
    <mergeCell ref="A107:AM109"/>
    <mergeCell ref="AN107:AR107"/>
    <mergeCell ref="AN108:AR108"/>
    <mergeCell ref="AN109:AR109"/>
    <mergeCell ref="I111:Y111"/>
    <mergeCell ref="AO111:AR111"/>
  </mergeCells>
  <conditionalFormatting sqref="AI4:AK4">
    <cfRule type="expression" dxfId="330" priority="6">
      <formula>$AC$4=" "</formula>
    </cfRule>
  </conditionalFormatting>
  <conditionalFormatting sqref="AI6:AK6">
    <cfRule type="expression" dxfId="329" priority="5">
      <formula>$AI$6=" "</formula>
    </cfRule>
  </conditionalFormatting>
  <conditionalFormatting sqref="AI62:AK62">
    <cfRule type="expression" dxfId="328" priority="1">
      <formula>$AI$6=" "</formula>
    </cfRule>
  </conditionalFormatting>
  <conditionalFormatting sqref="AI60:AK60">
    <cfRule type="expression" dxfId="327" priority="2">
      <formula>$AC$4=" "</formula>
    </cfRule>
  </conditionalFormatting>
  <printOptions horizontalCentered="1" verticalCentered="1"/>
  <pageMargins left="0.39370078740157483" right="0.39370078740157483" top="0.39370078740157483" bottom="0.39370078740157483" header="0" footer="0"/>
  <pageSetup scale="72"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M157"/>
  <sheetViews>
    <sheetView zoomScaleNormal="100" workbookViewId="0">
      <selection activeCell="D102" sqref="D102"/>
    </sheetView>
  </sheetViews>
  <sheetFormatPr baseColWidth="10" defaultColWidth="13.7109375" defaultRowHeight="12"/>
  <cols>
    <col min="1" max="1" width="7.7109375" style="81" customWidth="1"/>
    <col min="2" max="2" width="54.5703125" style="82" customWidth="1"/>
    <col min="3" max="3" width="5.7109375" style="81" customWidth="1"/>
    <col min="4" max="4" width="9.140625" style="83" customWidth="1"/>
    <col min="5" max="5" width="14.7109375" style="83" customWidth="1"/>
    <col min="6" max="6" width="15.85546875" style="83" customWidth="1"/>
    <col min="7" max="7" width="13.42578125" style="82" customWidth="1"/>
    <col min="8" max="8" width="14.7109375" style="82" customWidth="1"/>
    <col min="9" max="9" width="13.28515625" style="82" customWidth="1"/>
    <col min="10" max="10" width="21.28515625" style="82" customWidth="1"/>
    <col min="11" max="11" width="13.28515625" style="82" customWidth="1"/>
    <col min="12" max="12" width="14.42578125" style="82" customWidth="1"/>
    <col min="13" max="13" width="4.7109375" style="82" customWidth="1"/>
    <col min="14" max="16384" width="13.7109375" style="82"/>
  </cols>
  <sheetData>
    <row r="1" spans="1:12" ht="15.75">
      <c r="A1" s="1049" t="s">
        <v>246</v>
      </c>
      <c r="B1" s="1050"/>
      <c r="C1" s="1051" t="str">
        <f>"MUNICIPIO DE "&amp;DATOS!E8</f>
        <v xml:space="preserve">MUNICIPIO DE </v>
      </c>
      <c r="D1" s="1052"/>
      <c r="E1" s="1052"/>
      <c r="F1" s="1052"/>
      <c r="G1" s="1052"/>
      <c r="H1" s="1052"/>
      <c r="I1" s="1052"/>
      <c r="J1" s="1052"/>
      <c r="K1" s="129" t="s">
        <v>90</v>
      </c>
      <c r="L1" s="130" t="s">
        <v>1131</v>
      </c>
    </row>
    <row r="2" spans="1:12">
      <c r="A2" s="1050"/>
      <c r="B2" s="1050"/>
      <c r="C2" s="103" t="str">
        <f>DATOS!E10&amp;" No.:"</f>
        <v xml:space="preserve"> No.:</v>
      </c>
      <c r="D2" s="104"/>
      <c r="E2" s="105"/>
      <c r="F2" s="1053" t="str">
        <f>DATOS!E12&amp;" "&amp;DATOS!G12&amp;" "&amp;DATOS!I12</f>
        <v xml:space="preserve">  </v>
      </c>
      <c r="G2" s="1055"/>
      <c r="H2" s="103" t="s">
        <v>184</v>
      </c>
      <c r="I2" s="105"/>
      <c r="J2" s="109">
        <f>DATOS!E52</f>
        <v>0</v>
      </c>
      <c r="K2" s="129" t="s">
        <v>89</v>
      </c>
      <c r="L2" s="130" t="s">
        <v>248</v>
      </c>
    </row>
    <row r="3" spans="1:12">
      <c r="A3" s="1050"/>
      <c r="B3" s="1050"/>
      <c r="C3" s="98" t="s">
        <v>4</v>
      </c>
      <c r="D3" s="99"/>
      <c r="E3" s="100"/>
      <c r="F3" s="1053">
        <f>DATOS!G16</f>
        <v>0</v>
      </c>
      <c r="G3" s="1055"/>
      <c r="H3" s="103" t="s">
        <v>236</v>
      </c>
      <c r="I3" s="105"/>
      <c r="J3" s="110">
        <f>DATOS!E72</f>
        <v>42428</v>
      </c>
      <c r="K3" s="129" t="s">
        <v>247</v>
      </c>
      <c r="L3" s="395">
        <v>42705</v>
      </c>
    </row>
    <row r="4" spans="1:12">
      <c r="A4" s="1050"/>
      <c r="B4" s="1050"/>
      <c r="C4" s="98" t="s">
        <v>5</v>
      </c>
      <c r="D4" s="99"/>
      <c r="E4" s="100"/>
      <c r="F4" s="1053" t="str">
        <f>IF(DATOS!E16="Persona Jurídica",DATOS!G20," ")</f>
        <v xml:space="preserve"> </v>
      </c>
      <c r="G4" s="1055"/>
      <c r="H4" s="103" t="s">
        <v>241</v>
      </c>
      <c r="I4" s="105"/>
      <c r="J4" s="106">
        <f>DATOS!E74</f>
        <v>42459</v>
      </c>
      <c r="K4" s="1062" t="s">
        <v>312</v>
      </c>
      <c r="L4" s="1063"/>
    </row>
    <row r="5" spans="1:12">
      <c r="A5" s="1050"/>
      <c r="B5" s="1050"/>
      <c r="C5" s="98" t="s">
        <v>105</v>
      </c>
      <c r="D5" s="99"/>
      <c r="E5" s="100"/>
      <c r="F5" s="1053">
        <f>LOOKUP(C5,DATOS!C24:C30,DATOS!G24:G30)</f>
        <v>0</v>
      </c>
      <c r="G5" s="1055"/>
      <c r="H5" s="103" t="s">
        <v>237</v>
      </c>
      <c r="I5" s="105"/>
      <c r="J5" s="106">
        <f>DATOS!E78</f>
        <v>42491</v>
      </c>
      <c r="K5" s="1062"/>
      <c r="L5" s="1063"/>
    </row>
    <row r="6" spans="1:12">
      <c r="A6" s="1050"/>
      <c r="B6" s="1050"/>
      <c r="C6" s="98" t="s">
        <v>5</v>
      </c>
      <c r="D6" s="99"/>
      <c r="E6" s="100"/>
      <c r="F6" s="1053" t="str">
        <f>IF(DATOS!E24="Persona Jurídica",DATOS!G28," ")</f>
        <v xml:space="preserve"> </v>
      </c>
      <c r="G6" s="1055"/>
      <c r="H6" s="103" t="s">
        <v>242</v>
      </c>
      <c r="I6" s="105"/>
      <c r="J6" s="106">
        <f>DATOS!E80</f>
        <v>42916</v>
      </c>
      <c r="K6" s="1062"/>
      <c r="L6" s="1063"/>
    </row>
    <row r="7" spans="1:12">
      <c r="A7" s="1050"/>
      <c r="B7" s="1050"/>
      <c r="C7" s="98" t="s">
        <v>185</v>
      </c>
      <c r="D7" s="99"/>
      <c r="E7" s="100"/>
      <c r="F7" s="1041">
        <f>DATOS!E46</f>
        <v>0</v>
      </c>
      <c r="G7" s="1043"/>
      <c r="H7" s="103" t="s">
        <v>238</v>
      </c>
      <c r="I7" s="105"/>
      <c r="J7" s="106">
        <f>DATOS!E84</f>
        <v>42541</v>
      </c>
      <c r="K7" s="1062"/>
      <c r="L7" s="1063"/>
    </row>
    <row r="8" spans="1:12">
      <c r="A8" s="1050"/>
      <c r="B8" s="1050"/>
      <c r="C8" s="98" t="s">
        <v>77</v>
      </c>
      <c r="D8" s="99"/>
      <c r="E8" s="100"/>
      <c r="F8" s="1041">
        <f>DATOS!E60</f>
        <v>30000000</v>
      </c>
      <c r="G8" s="1043"/>
      <c r="H8" s="103" t="s">
        <v>243</v>
      </c>
      <c r="I8" s="105"/>
      <c r="J8" s="106">
        <f>DATOS!E86</f>
        <v>42546</v>
      </c>
      <c r="K8" s="1062"/>
      <c r="L8" s="1063"/>
    </row>
    <row r="9" spans="1:12">
      <c r="A9" s="1050"/>
      <c r="B9" s="1050"/>
      <c r="C9" s="98" t="s">
        <v>78</v>
      </c>
      <c r="D9" s="99"/>
      <c r="E9" s="100"/>
      <c r="F9" s="1041">
        <f>DATOS!E62</f>
        <v>0</v>
      </c>
      <c r="G9" s="1043"/>
      <c r="H9" s="103" t="s">
        <v>239</v>
      </c>
      <c r="I9" s="105"/>
      <c r="J9" s="106">
        <f>DATOS!E90</f>
        <v>0</v>
      </c>
      <c r="K9" s="1062"/>
      <c r="L9" s="1063"/>
    </row>
    <row r="10" spans="1:12">
      <c r="A10" s="1044" t="s">
        <v>8</v>
      </c>
      <c r="B10" s="1045">
        <f>DATOS!E38</f>
        <v>0</v>
      </c>
      <c r="C10" s="98" t="s">
        <v>186</v>
      </c>
      <c r="D10" s="99"/>
      <c r="E10" s="100"/>
      <c r="F10" s="1041">
        <f>F7+F8+F9</f>
        <v>30000000</v>
      </c>
      <c r="G10" s="1043"/>
      <c r="H10" s="103" t="s">
        <v>244</v>
      </c>
      <c r="I10" s="105"/>
      <c r="J10" s="106">
        <f>DATOS!E92</f>
        <v>0</v>
      </c>
      <c r="K10" s="1062"/>
      <c r="L10" s="1063"/>
    </row>
    <row r="11" spans="1:12">
      <c r="A11" s="1044"/>
      <c r="B11" s="1045"/>
      <c r="C11" s="98" t="s">
        <v>233</v>
      </c>
      <c r="D11" s="99"/>
      <c r="E11" s="100"/>
      <c r="F11" s="1046">
        <f>DATOS!E174</f>
        <v>42602</v>
      </c>
      <c r="G11" s="1048"/>
      <c r="H11" s="103" t="s">
        <v>240</v>
      </c>
      <c r="I11" s="105"/>
      <c r="J11" s="106"/>
      <c r="K11" s="1064"/>
      <c r="L11" s="1065"/>
    </row>
    <row r="12" spans="1:12">
      <c r="A12" s="1044"/>
      <c r="B12" s="1045"/>
      <c r="C12" s="98" t="s">
        <v>234</v>
      </c>
      <c r="D12" s="99"/>
      <c r="E12" s="100"/>
      <c r="F12" s="1046">
        <f>DATOS!E176</f>
        <v>0</v>
      </c>
      <c r="G12" s="1048"/>
      <c r="H12" s="103" t="s">
        <v>245</v>
      </c>
      <c r="I12" s="105"/>
      <c r="J12" s="106"/>
      <c r="K12" s="1073">
        <f>DATOS!E142</f>
        <v>0</v>
      </c>
      <c r="L12" s="1074"/>
    </row>
    <row r="13" spans="1:12">
      <c r="A13" s="1044"/>
      <c r="B13" s="1045"/>
      <c r="C13" s="98" t="s">
        <v>235</v>
      </c>
      <c r="D13" s="99"/>
      <c r="E13" s="100"/>
      <c r="F13" s="1046">
        <f>DATOS!E178</f>
        <v>0</v>
      </c>
      <c r="G13" s="1048"/>
      <c r="H13" s="103" t="s">
        <v>72</v>
      </c>
      <c r="I13" s="105"/>
      <c r="J13" s="107">
        <f>DATOS!E132</f>
        <v>614</v>
      </c>
      <c r="K13" s="1075"/>
      <c r="L13" s="1076"/>
    </row>
    <row r="14" spans="1:12">
      <c r="A14" s="84"/>
      <c r="B14" s="85"/>
      <c r="C14" s="84"/>
      <c r="D14" s="86"/>
      <c r="E14" s="86"/>
      <c r="F14" s="86"/>
      <c r="G14" s="85"/>
      <c r="H14" s="85"/>
      <c r="I14" s="85"/>
      <c r="J14" s="85"/>
      <c r="K14" s="85"/>
      <c r="L14" s="85"/>
    </row>
    <row r="15" spans="1:12">
      <c r="A15" s="1040" t="s">
        <v>181</v>
      </c>
      <c r="B15" s="1040" t="s">
        <v>115</v>
      </c>
      <c r="C15" s="1147" t="s">
        <v>182</v>
      </c>
      <c r="D15" s="1148"/>
      <c r="E15" s="1148"/>
      <c r="F15" s="1149"/>
      <c r="G15" s="1139" t="s">
        <v>187</v>
      </c>
      <c r="H15" s="1140"/>
      <c r="I15" s="1141" t="s">
        <v>188</v>
      </c>
      <c r="J15" s="1142"/>
      <c r="K15" s="1143" t="s">
        <v>189</v>
      </c>
      <c r="L15" s="1143"/>
    </row>
    <row r="16" spans="1:12">
      <c r="A16" s="1040"/>
      <c r="B16" s="1040"/>
      <c r="C16" s="95" t="s">
        <v>164</v>
      </c>
      <c r="D16" s="96" t="s">
        <v>118</v>
      </c>
      <c r="E16" s="96" t="s">
        <v>180</v>
      </c>
      <c r="F16" s="96" t="s">
        <v>117</v>
      </c>
      <c r="G16" s="101" t="s">
        <v>317</v>
      </c>
      <c r="H16" s="101" t="s">
        <v>117</v>
      </c>
      <c r="I16" s="131" t="s">
        <v>317</v>
      </c>
      <c r="J16" s="131" t="s">
        <v>117</v>
      </c>
      <c r="K16" s="132" t="s">
        <v>317</v>
      </c>
      <c r="L16" s="132" t="s">
        <v>117</v>
      </c>
    </row>
    <row r="17" spans="1:13">
      <c r="A17" s="87" t="str">
        <f>IF(LOOKUP(M17,PPTO!$J$8:$J$269,PPTO!A$8:A$269)=0," ",LOOKUP(M17,PPTO!$J$8:$J$269,PPTO!A$8:A$269))</f>
        <v xml:space="preserve"> </v>
      </c>
      <c r="B17" s="88" t="str">
        <f>IF(LOOKUP(M17,PPTO!$J$8:J$269,PPTO!B$8:B$269)=0," ",LOOKUP(M17,PPTO!$J$8:J$269,PPTO!B$8:B$269))</f>
        <v xml:space="preserve"> </v>
      </c>
      <c r="C17" s="89" t="str">
        <f>IF(LOOKUP(M17,PPTO!$J$8:$J$269,PPTO!D$8:D$269)=0," ",LOOKUP(M17,PPTO!$J$8:$J$269,PPTO!D$8:D$269))</f>
        <v xml:space="preserve"> </v>
      </c>
      <c r="D17" s="90" t="str">
        <f>IF(LOOKUP(M17,PPTO!$J$8:$J$269,PPTO!D$8:D$269)=0," ",LOOKUP(M17,PPTO!$J$8:$J$269,PPTO!D$8:D$269))</f>
        <v xml:space="preserve"> </v>
      </c>
      <c r="E17" s="90" t="str">
        <f>IF(LOOKUP(M17,PPTO!$J$8:$J$269,PPTO!E$8:E$269)=0," ",LOOKUP(M17,PPTO!$J$8:$J$269,PPTO!E$8:E$269))</f>
        <v xml:space="preserve"> </v>
      </c>
      <c r="F17" s="90" t="str">
        <f>IF(LOOKUP(M17,PPTO!$J$8:$J$269,PPTO!F$8:F$269)=0," ",LOOKUP(M17,PPTO!$J$8:$J$269,PPTO!F$8:F$269))</f>
        <v xml:space="preserve"> </v>
      </c>
      <c r="G17" s="102"/>
      <c r="H17" s="102"/>
      <c r="I17" s="174"/>
      <c r="J17" s="102"/>
      <c r="K17" s="102"/>
      <c r="L17" s="102"/>
      <c r="M17" s="108">
        <v>1</v>
      </c>
    </row>
    <row r="18" spans="1:13">
      <c r="A18" s="87" t="str">
        <f>IF(LOOKUP(M18,PPTO!$J$8:$J$269,PPTO!A$8:A$269)=0," ",LOOKUP(M18,PPTO!$J$8:$J$269,PPTO!A$8:A$269))</f>
        <v xml:space="preserve"> </v>
      </c>
      <c r="B18" s="88" t="str">
        <f>IF(LOOKUP(M18,PPTO!$J$8:J$269,PPTO!B$8:B$269)=0," ",LOOKUP(M18,PPTO!$J$8:J$269,PPTO!B$8:B$269))</f>
        <v>PRESUPUESTO OBRA CIVIL</v>
      </c>
      <c r="C18" s="89" t="str">
        <f>IF(LOOKUP(M18,PPTO!$J$8:$J$269,PPTO!D$8:D$269)=0," ",LOOKUP(M18,PPTO!$J$8:$J$269,PPTO!D$8:D$269))</f>
        <v xml:space="preserve"> </v>
      </c>
      <c r="D18" s="90" t="str">
        <f>IF(LOOKUP(M18,PPTO!$J$8:$J$269,PPTO!D$8:D$269)=0," ",LOOKUP(M18,PPTO!$J$8:$J$269,PPTO!D$8:D$269))</f>
        <v xml:space="preserve"> </v>
      </c>
      <c r="E18" s="90" t="str">
        <f>IF(LOOKUP(M18,PPTO!$J$8:$J$269,PPTO!E$8:E$269)=0," ",LOOKUP(M18,PPTO!$J$8:$J$269,PPTO!E$8:E$269))</f>
        <v xml:space="preserve"> </v>
      </c>
      <c r="F18" s="90" t="str">
        <f>IF(LOOKUP(M18,PPTO!$J$8:$J$269,PPTO!H$8:H$269)=0," ",LOOKUP(M18,PPTO!$J$8:$J$269,PPTO!H$8:H$269))</f>
        <v xml:space="preserve"> </v>
      </c>
      <c r="G18" s="102"/>
      <c r="H18" s="102"/>
      <c r="I18" s="174"/>
      <c r="J18" s="102"/>
      <c r="K18" s="102"/>
      <c r="L18" s="102"/>
      <c r="M18" s="108">
        <f>M17+1</f>
        <v>2</v>
      </c>
    </row>
    <row r="19" spans="1:13">
      <c r="A19" s="92">
        <f>IF(LOOKUP(M19,PPTO!$J$8:$J$269,PPTO!A$8:A$269)=0," ",LOOKUP(M19,PPTO!$J$8:$J$269,PPTO!A$8:A$269))</f>
        <v>1</v>
      </c>
      <c r="B19" s="88" t="str">
        <f>IF(LOOKUP(M19,PPTO!$J$8:J$269,PPTO!B$8:B$269)=0," ",LOOKUP(M19,PPTO!$J$8:J$269,PPTO!B$8:B$269))</f>
        <v>PRELIMINARES</v>
      </c>
      <c r="C19" s="89" t="str">
        <f>IF(LOOKUP(M19,PPTO!$J$8:$J$269,PPTO!D$8:D$269)=0," ",LOOKUP(M19,PPTO!$J$8:$J$269,PPTO!D$8:D$269))</f>
        <v xml:space="preserve"> </v>
      </c>
      <c r="D19" s="90" t="str">
        <f>IF(LOOKUP(M19,PPTO!$J$8:$J$269,PPTO!E$8:E$269)=0," ",LOOKUP(M19,PPTO!$J$8:$J$269,PPTO!E$8:E$269))</f>
        <v xml:space="preserve"> </v>
      </c>
      <c r="E19" s="90" t="str">
        <f>IF(LOOKUP(M19,PPTO!$J$8:$J$269,PPTO!F$8:F$269)=0," ",LOOKUP(M19,PPTO!$J$8:$J$269,PPTO!F$8:F$269))</f>
        <v xml:space="preserve"> </v>
      </c>
      <c r="F19" s="90" t="str">
        <f>IF(LOOKUP(M19,PPTO!$J$8:$J$269,PPTO!H$8:H$269)=0," ",LOOKUP(M19,PPTO!$J$8:$J$269,PPTO!H$8:H$269))</f>
        <v xml:space="preserve"> </v>
      </c>
      <c r="G19" s="102"/>
      <c r="H19" s="102"/>
      <c r="I19" s="174"/>
      <c r="J19" s="102"/>
      <c r="K19" s="102"/>
      <c r="L19" s="102"/>
      <c r="M19" s="108">
        <f t="shared" ref="M19:M77" si="0">M18+1</f>
        <v>3</v>
      </c>
    </row>
    <row r="20" spans="1:13">
      <c r="A20" s="87" t="str">
        <f>IF(LOOKUP(M20,PPTO!$J$8:$J$269,PPTO!A$8:A$269)=0," ",LOOKUP(M20,PPTO!$J$8:$J$269,PPTO!A$8:A$269))</f>
        <v>1.02</v>
      </c>
      <c r="B20" s="91" t="str">
        <f>IF(LOOKUP(M20,PPTO!$J$8:J$269,PPTO!B$8:B$269)=0," ",LOOKUP(M20,PPTO!$J$8:J$269,PPTO!B$8:B$269))</f>
        <v xml:space="preserve"> </v>
      </c>
      <c r="C20" s="89" t="str">
        <f>IF(LOOKUP(M20,PPTO!$J$8:$J$269,PPTO!D$8:D$269)=0," ",LOOKUP(M20,PPTO!$J$8:$J$269,PPTO!D$8:D$269))</f>
        <v>ML</v>
      </c>
      <c r="D20" s="90" t="str">
        <f>IF(LOOKUP(M20,PPTO!$J$8:$J$269,PPTO!E$8:E$269)=0," ",LOOKUP(M20,PPTO!$J$8:$J$269,PPTO!E$8:E$269))</f>
        <v xml:space="preserve"> </v>
      </c>
      <c r="E20" s="90" t="str">
        <f>IF(LOOKUP(M20,PPTO!$J$8:$J$269,PPTO!F$8:F$269)=0," ",LOOKUP(M20,PPTO!$J$8:$J$269,PPTO!F$8:F$269))</f>
        <v xml:space="preserve"> </v>
      </c>
      <c r="F20" s="90" t="str">
        <f>IF(LOOKUP(M20,PPTO!$J$8:$J$269,PPTO!H$8:H$269)=0," ",LOOKUP(M20,PPTO!$J$8:$J$269,PPTO!H$8:H$269))</f>
        <v xml:space="preserve"> </v>
      </c>
      <c r="G20" s="102" t="str">
        <f>IF(DATOS!$E$136&gt;0,'ACTA MODIFICACIÓN No.1'!M21,'ACTA PARCIAL No.1'!D20)</f>
        <v xml:space="preserve"> </v>
      </c>
      <c r="H20" s="102" t="e">
        <f>ROUND(G20*E20,0)</f>
        <v>#VALUE!</v>
      </c>
      <c r="I20" s="174">
        <v>11000</v>
      </c>
      <c r="J20" s="102" t="e">
        <f>ROUND(I20*E20,0)</f>
        <v>#VALUE!</v>
      </c>
      <c r="K20" s="102">
        <f>I20</f>
        <v>11000</v>
      </c>
      <c r="L20" s="102" t="e">
        <f>ROUND(K20*E20,0)</f>
        <v>#VALUE!</v>
      </c>
      <c r="M20" s="108">
        <f t="shared" si="0"/>
        <v>4</v>
      </c>
    </row>
    <row r="21" spans="1:13">
      <c r="A21" s="87">
        <f>IF(LOOKUP(M21,PPTO!$J$8:$J$269,PPTO!A$8:A$269)=0," ",LOOKUP(M21,PPTO!$J$8:$J$269,PPTO!A$8:A$269))</f>
        <v>2</v>
      </c>
      <c r="B21" s="91" t="str">
        <f>IF(LOOKUP(M21,PPTO!$J$8:J$269,PPTO!B$8:B$269)=0," ",LOOKUP(M21,PPTO!$J$8:J$269,PPTO!B$8:B$269))</f>
        <v>DEMOLICION Y ROTURAS</v>
      </c>
      <c r="C21" s="89" t="str">
        <f>IF(LOOKUP(M21,PPTO!$J$8:$J$269,PPTO!D$8:D$269)=0," ",LOOKUP(M21,PPTO!$J$8:$J$269,PPTO!D$8:D$269))</f>
        <v xml:space="preserve"> </v>
      </c>
      <c r="D21" s="90" t="str">
        <f>IF(LOOKUP(M21,PPTO!$J$8:$J$269,PPTO!E$8:E$269)=0," ",LOOKUP(M21,PPTO!$J$8:$J$269,PPTO!E$8:E$269))</f>
        <v xml:space="preserve"> </v>
      </c>
      <c r="E21" s="90" t="str">
        <f>IF(LOOKUP(M21,PPTO!$J$8:$J$269,PPTO!F$8:F$269)=0," ",LOOKUP(M21,PPTO!$J$8:$J$269,PPTO!F$8:F$269))</f>
        <v xml:space="preserve"> </v>
      </c>
      <c r="F21" s="90" t="str">
        <f>IF(LOOKUP(M21,PPTO!$J$8:$J$269,PPTO!H$8:H$269)=0," ",LOOKUP(M21,PPTO!$J$8:$J$269,PPTO!H$8:H$269))</f>
        <v xml:space="preserve"> </v>
      </c>
      <c r="G21" s="102" t="str">
        <f>IF(DATOS!$E$136&gt;0,'ACTA MODIFICACIÓN No.1'!M22,'ACTA PARCIAL No.1'!D21)</f>
        <v xml:space="preserve"> </v>
      </c>
      <c r="H21" s="102"/>
      <c r="I21" s="174"/>
      <c r="J21" s="102"/>
      <c r="K21" s="102"/>
      <c r="L21" s="102"/>
      <c r="M21" s="108">
        <f t="shared" si="0"/>
        <v>5</v>
      </c>
    </row>
    <row r="22" spans="1:13">
      <c r="A22" s="87" t="str">
        <f>IF(LOOKUP(M22,PPTO!$J$8:$J$269,PPTO!A$8:A$269)=0," ",LOOKUP(M22,PPTO!$J$8:$J$269,PPTO!A$8:A$269))</f>
        <v>2.01</v>
      </c>
      <c r="B22" s="91" t="str">
        <f>IF(LOOKUP(M22,PPTO!$J$8:J$269,PPTO!B$8:B$269)=0," ",LOOKUP(M22,PPTO!$J$8:J$269,PPTO!B$8:B$269))</f>
        <v xml:space="preserve"> </v>
      </c>
      <c r="C22" s="89" t="str">
        <f>IF(LOOKUP(M22,PPTO!$J$8:$J$269,PPTO!D$8:D$269)=0," ",LOOKUP(M22,PPTO!$J$8:$J$269,PPTO!D$8:D$269))</f>
        <v>ML</v>
      </c>
      <c r="D22" s="90" t="str">
        <f>IF(LOOKUP(M22,PPTO!$J$8:$J$269,PPTO!E$8:E$269)=0," ",LOOKUP(M22,PPTO!$J$8:$J$269,PPTO!E$8:E$269))</f>
        <v xml:space="preserve"> </v>
      </c>
      <c r="E22" s="90" t="str">
        <f>IF(LOOKUP(M22,PPTO!$J$8:$J$269,PPTO!F$8:F$269)=0," ",LOOKUP(M22,PPTO!$J$8:$J$269,PPTO!F$8:F$269))</f>
        <v xml:space="preserve"> </v>
      </c>
      <c r="F22" s="90" t="str">
        <f>IF(LOOKUP(M22,PPTO!$J$8:$J$269,PPTO!H$8:H$269)=0," ",LOOKUP(M22,PPTO!$J$8:$J$269,PPTO!H$8:H$269))</f>
        <v xml:space="preserve"> </v>
      </c>
      <c r="G22" s="102" t="str">
        <f>IF(DATOS!$E$136&gt;0,'ACTA MODIFICACIÓN No.1'!M23,'ACTA PARCIAL No.1'!D22)</f>
        <v xml:space="preserve"> </v>
      </c>
      <c r="H22" s="102" t="e">
        <f t="shared" ref="H22:H60" si="1">ROUND(G22*E22,0)</f>
        <v>#VALUE!</v>
      </c>
      <c r="I22" s="174">
        <v>14000</v>
      </c>
      <c r="J22" s="102" t="e">
        <f t="shared" ref="J22:J60" si="2">ROUND(I22*E22,0)</f>
        <v>#VALUE!</v>
      </c>
      <c r="K22" s="102">
        <f t="shared" ref="K22:K60" si="3">I22</f>
        <v>14000</v>
      </c>
      <c r="L22" s="102" t="e">
        <f t="shared" ref="L22:L60" si="4">ROUND(K22*E22,0)</f>
        <v>#VALUE!</v>
      </c>
      <c r="M22" s="108">
        <f t="shared" si="0"/>
        <v>6</v>
      </c>
    </row>
    <row r="23" spans="1:13">
      <c r="A23" s="87" t="str">
        <f>IF(LOOKUP(M23,PPTO!$J$8:$J$269,PPTO!A$8:A$269)=0," ",LOOKUP(M23,PPTO!$J$8:$J$269,PPTO!A$8:A$269))</f>
        <v>2.02</v>
      </c>
      <c r="B23" s="91" t="str">
        <f>IF(LOOKUP(M23,PPTO!$J$8:J$269,PPTO!B$8:B$269)=0," ",LOOKUP(M23,PPTO!$J$8:J$269,PPTO!B$8:B$269))</f>
        <v xml:space="preserve"> </v>
      </c>
      <c r="C23" s="89" t="str">
        <f>IF(LOOKUP(M23,PPTO!$J$8:$J$269,PPTO!D$8:D$269)=0," ",LOOKUP(M23,PPTO!$J$8:$J$269,PPTO!D$8:D$269))</f>
        <v>M2</v>
      </c>
      <c r="D23" s="90" t="str">
        <f>IF(LOOKUP(M23,PPTO!$J$8:$J$269,PPTO!E$8:E$269)=0," ",LOOKUP(M23,PPTO!$J$8:$J$269,PPTO!E$8:E$269))</f>
        <v xml:space="preserve"> </v>
      </c>
      <c r="E23" s="90" t="str">
        <f>IF(LOOKUP(M23,PPTO!$J$8:$J$269,PPTO!F$8:F$269)=0," ",LOOKUP(M23,PPTO!$J$8:$J$269,PPTO!F$8:F$269))</f>
        <v xml:space="preserve"> </v>
      </c>
      <c r="F23" s="90" t="str">
        <f>IF(LOOKUP(M23,PPTO!$J$8:$J$269,PPTO!H$8:H$269)=0," ",LOOKUP(M23,PPTO!$J$8:$J$269,PPTO!H$8:H$269))</f>
        <v xml:space="preserve"> </v>
      </c>
      <c r="G23" s="102" t="str">
        <f>IF(DATOS!$E$136&gt;0,'ACTA MODIFICACIÓN No.1'!M24,'ACTA PARCIAL No.1'!D23)</f>
        <v xml:space="preserve"> </v>
      </c>
      <c r="H23" s="102" t="e">
        <f t="shared" si="1"/>
        <v>#VALUE!</v>
      </c>
      <c r="I23" s="174">
        <v>4123</v>
      </c>
      <c r="J23" s="102" t="e">
        <f t="shared" si="2"/>
        <v>#VALUE!</v>
      </c>
      <c r="K23" s="102">
        <f t="shared" si="3"/>
        <v>4123</v>
      </c>
      <c r="L23" s="102" t="e">
        <f t="shared" si="4"/>
        <v>#VALUE!</v>
      </c>
      <c r="M23" s="108">
        <f t="shared" si="0"/>
        <v>7</v>
      </c>
    </row>
    <row r="24" spans="1:13">
      <c r="A24" s="87" t="str">
        <f>IF(LOOKUP(M24,PPTO!$J$8:$J$269,PPTO!A$8:A$269)=0," ",LOOKUP(M24,PPTO!$J$8:$J$269,PPTO!A$8:A$269))</f>
        <v>2.03</v>
      </c>
      <c r="B24" s="91" t="str">
        <f>IF(LOOKUP(M24,PPTO!$J$8:J$269,PPTO!B$8:B$269)=0," ",LOOKUP(M24,PPTO!$J$8:J$269,PPTO!B$8:B$269))</f>
        <v xml:space="preserve"> </v>
      </c>
      <c r="C24" s="89" t="str">
        <f>IF(LOOKUP(M24,PPTO!$J$8:$J$269,PPTO!D$8:D$269)=0," ",LOOKUP(M24,PPTO!$J$8:$J$269,PPTO!D$8:D$269))</f>
        <v>M2</v>
      </c>
      <c r="D24" s="90" t="str">
        <f>IF(LOOKUP(M24,PPTO!$J$8:$J$269,PPTO!E$8:E$269)=0," ",LOOKUP(M24,PPTO!$J$8:$J$269,PPTO!E$8:E$269))</f>
        <v xml:space="preserve"> </v>
      </c>
      <c r="E24" s="90" t="str">
        <f>IF(LOOKUP(M24,PPTO!$J$8:$J$269,PPTO!F$8:F$269)=0," ",LOOKUP(M24,PPTO!$J$8:$J$269,PPTO!F$8:F$269))</f>
        <v xml:space="preserve"> </v>
      </c>
      <c r="F24" s="90" t="str">
        <f>IF(LOOKUP(M24,PPTO!$J$8:$J$269,PPTO!H$8:H$269)=0," ",LOOKUP(M24,PPTO!$J$8:$J$269,PPTO!H$8:H$269))</f>
        <v xml:space="preserve"> </v>
      </c>
      <c r="G24" s="102" t="str">
        <f>IF(DATOS!$E$136&gt;0,'ACTA MODIFICACIÓN No.1'!M25,'ACTA PARCIAL No.1'!D24)</f>
        <v xml:space="preserve"> </v>
      </c>
      <c r="H24" s="102" t="e">
        <f t="shared" si="1"/>
        <v>#VALUE!</v>
      </c>
      <c r="I24" s="174">
        <v>1245</v>
      </c>
      <c r="J24" s="102" t="e">
        <f t="shared" si="2"/>
        <v>#VALUE!</v>
      </c>
      <c r="K24" s="102">
        <f t="shared" si="3"/>
        <v>1245</v>
      </c>
      <c r="L24" s="102" t="e">
        <f t="shared" si="4"/>
        <v>#VALUE!</v>
      </c>
      <c r="M24" s="108">
        <f t="shared" si="0"/>
        <v>8</v>
      </c>
    </row>
    <row r="25" spans="1:13">
      <c r="A25" s="87" t="str">
        <f>IF(LOOKUP(M25,PPTO!$J$8:$J$269,PPTO!A$8:A$269)=0," ",LOOKUP(M25,PPTO!$J$8:$J$269,PPTO!A$8:A$269))</f>
        <v>2.04</v>
      </c>
      <c r="B25" s="91" t="str">
        <f>IF(LOOKUP(M25,PPTO!$J$8:J$269,PPTO!B$8:B$269)=0," ",LOOKUP(M25,PPTO!$J$8:J$269,PPTO!B$8:B$269))</f>
        <v xml:space="preserve"> </v>
      </c>
      <c r="C25" s="89" t="str">
        <f>IF(LOOKUP(M25,PPTO!$J$8:$J$269,PPTO!D$8:D$269)=0," ",LOOKUP(M25,PPTO!$J$8:$J$269,PPTO!D$8:D$269))</f>
        <v>UND</v>
      </c>
      <c r="D25" s="90" t="str">
        <f>IF(LOOKUP(M25,PPTO!$J$8:$J$269,PPTO!E$8:E$269)=0," ",LOOKUP(M25,PPTO!$J$8:$J$269,PPTO!E$8:E$269))</f>
        <v xml:space="preserve"> </v>
      </c>
      <c r="E25" s="90" t="str">
        <f>IF(LOOKUP(M25,PPTO!$J$8:$J$269,PPTO!F$8:F$269)=0," ",LOOKUP(M25,PPTO!$J$8:$J$269,PPTO!F$8:F$269))</f>
        <v xml:space="preserve"> </v>
      </c>
      <c r="F25" s="90" t="str">
        <f>IF(LOOKUP(M25,PPTO!$J$8:$J$269,PPTO!H$8:H$269)=0," ",LOOKUP(M25,PPTO!$J$8:$J$269,PPTO!H$8:H$269))</f>
        <v xml:space="preserve"> </v>
      </c>
      <c r="G25" s="102" t="str">
        <f>IF(DATOS!$E$136&gt;0,'ACTA MODIFICACIÓN No.1'!M26,'ACTA PARCIAL No.1'!D25)</f>
        <v xml:space="preserve"> </v>
      </c>
      <c r="H25" s="102" t="e">
        <f t="shared" si="1"/>
        <v>#VALUE!</v>
      </c>
      <c r="I25" s="174">
        <v>200</v>
      </c>
      <c r="J25" s="102" t="e">
        <f t="shared" si="2"/>
        <v>#VALUE!</v>
      </c>
      <c r="K25" s="102">
        <f t="shared" si="3"/>
        <v>200</v>
      </c>
      <c r="L25" s="102" t="e">
        <f t="shared" si="4"/>
        <v>#VALUE!</v>
      </c>
      <c r="M25" s="108">
        <f t="shared" si="0"/>
        <v>9</v>
      </c>
    </row>
    <row r="26" spans="1:13">
      <c r="A26" s="87">
        <f>IF(LOOKUP(M26,PPTO!$J$8:$J$269,PPTO!A$8:A$269)=0," ",LOOKUP(M26,PPTO!$J$8:$J$269,PPTO!A$8:A$269))</f>
        <v>3</v>
      </c>
      <c r="B26" s="91" t="str">
        <f>IF(LOOKUP(M26,PPTO!$J$8:J$269,PPTO!B$8:B$269)=0," ",LOOKUP(M26,PPTO!$J$8:J$269,PPTO!B$8:B$269))</f>
        <v>MOVIMIENTOS DE TIERRA</v>
      </c>
      <c r="C26" s="89" t="str">
        <f>IF(LOOKUP(M26,PPTO!$J$8:$J$269,PPTO!D$8:D$269)=0," ",LOOKUP(M26,PPTO!$J$8:$J$269,PPTO!D$8:D$269))</f>
        <v xml:space="preserve"> </v>
      </c>
      <c r="D26" s="90" t="str">
        <f>IF(LOOKUP(M26,PPTO!$J$8:$J$269,PPTO!E$8:E$269)=0," ",LOOKUP(M26,PPTO!$J$8:$J$269,PPTO!E$8:E$269))</f>
        <v xml:space="preserve"> </v>
      </c>
      <c r="E26" s="90" t="str">
        <f>IF(LOOKUP(M26,PPTO!$J$8:$J$269,PPTO!F$8:F$269)=0," ",LOOKUP(M26,PPTO!$J$8:$J$269,PPTO!F$8:F$269))</f>
        <v xml:space="preserve"> </v>
      </c>
      <c r="F26" s="90" t="str">
        <f>IF(LOOKUP(M26,PPTO!$J$8:$J$269,PPTO!H$8:H$269)=0," ",LOOKUP(M26,PPTO!$J$8:$J$269,PPTO!H$8:H$269))</f>
        <v xml:space="preserve"> </v>
      </c>
      <c r="G26" s="102" t="str">
        <f>IF(DATOS!$E$136&gt;0,'ACTA MODIFICACIÓN No.1'!M27,'ACTA PARCIAL No.1'!D26)</f>
        <v xml:space="preserve"> </v>
      </c>
      <c r="H26" s="102"/>
      <c r="I26" s="174"/>
      <c r="J26" s="102"/>
      <c r="K26" s="102"/>
      <c r="L26" s="102"/>
      <c r="M26" s="108">
        <f t="shared" si="0"/>
        <v>10</v>
      </c>
    </row>
    <row r="27" spans="1:13">
      <c r="A27" s="87" t="str">
        <f>IF(LOOKUP(M27,PPTO!$J$8:$J$269,PPTO!A$8:A$269)=0," ",LOOKUP(M27,PPTO!$J$8:$J$269,PPTO!A$8:A$269))</f>
        <v>3.01</v>
      </c>
      <c r="B27" s="91" t="str">
        <f>IF(LOOKUP(M27,PPTO!$J$8:J$269,PPTO!B$8:B$269)=0," ",LOOKUP(M27,PPTO!$J$8:J$269,PPTO!B$8:B$269))</f>
        <v xml:space="preserve"> </v>
      </c>
      <c r="C27" s="89" t="str">
        <f>IF(LOOKUP(M27,PPTO!$J$8:$J$269,PPTO!D$8:D$269)=0," ",LOOKUP(M27,PPTO!$J$8:$J$269,PPTO!D$8:D$269))</f>
        <v>M3</v>
      </c>
      <c r="D27" s="90" t="str">
        <f>IF(LOOKUP(M27,PPTO!$J$8:$J$269,PPTO!E$8:E$269)=0," ",LOOKUP(M27,PPTO!$J$8:$J$269,PPTO!E$8:E$269))</f>
        <v xml:space="preserve"> </v>
      </c>
      <c r="E27" s="90" t="str">
        <f>IF(LOOKUP(M27,PPTO!$J$8:$J$269,PPTO!F$8:F$269)=0," ",LOOKUP(M27,PPTO!$J$8:$J$269,PPTO!F$8:F$269))</f>
        <v xml:space="preserve"> </v>
      </c>
      <c r="F27" s="90" t="str">
        <f>IF(LOOKUP(M27,PPTO!$J$8:$J$269,PPTO!H$8:H$269)=0," ",LOOKUP(M27,PPTO!$J$8:$J$269,PPTO!H$8:H$269))</f>
        <v xml:space="preserve"> </v>
      </c>
      <c r="G27" s="102" t="str">
        <f>IF(DATOS!$E$136&gt;0,'ACTA MODIFICACIÓN No.1'!M28,'ACTA PARCIAL No.1'!D27)</f>
        <v xml:space="preserve"> </v>
      </c>
      <c r="H27" s="102" t="e">
        <f t="shared" si="1"/>
        <v>#VALUE!</v>
      </c>
      <c r="I27" s="174">
        <v>200</v>
      </c>
      <c r="J27" s="102" t="e">
        <f t="shared" si="2"/>
        <v>#VALUE!</v>
      </c>
      <c r="K27" s="102">
        <f t="shared" si="3"/>
        <v>200</v>
      </c>
      <c r="L27" s="102" t="e">
        <f t="shared" si="4"/>
        <v>#VALUE!</v>
      </c>
      <c r="M27" s="108">
        <f t="shared" si="0"/>
        <v>11</v>
      </c>
    </row>
    <row r="28" spans="1:13">
      <c r="A28" s="87" t="str">
        <f>IF(LOOKUP(M28,PPTO!$J$8:$J$269,PPTO!A$8:A$269)=0," ",LOOKUP(M28,PPTO!$J$8:$J$269,PPTO!A$8:A$269))</f>
        <v>3.02</v>
      </c>
      <c r="B28" s="91" t="str">
        <f>IF(LOOKUP(M28,PPTO!$J$8:J$269,PPTO!B$8:B$269)=0," ",LOOKUP(M28,PPTO!$J$8:J$269,PPTO!B$8:B$269))</f>
        <v xml:space="preserve"> </v>
      </c>
      <c r="C28" s="89" t="str">
        <f>IF(LOOKUP(M28,PPTO!$J$8:$J$269,PPTO!D$8:D$269)=0," ",LOOKUP(M28,PPTO!$J$8:$J$269,PPTO!D$8:D$269))</f>
        <v>M3</v>
      </c>
      <c r="D28" s="90" t="str">
        <f>IF(LOOKUP(M28,PPTO!$J$8:$J$269,PPTO!E$8:E$269)=0," ",LOOKUP(M28,PPTO!$J$8:$J$269,PPTO!E$8:E$269))</f>
        <v xml:space="preserve"> </v>
      </c>
      <c r="E28" s="90" t="str">
        <f>IF(LOOKUP(M28,PPTO!$J$8:$J$269,PPTO!F$8:F$269)=0," ",LOOKUP(M28,PPTO!$J$8:$J$269,PPTO!F$8:F$269))</f>
        <v xml:space="preserve"> </v>
      </c>
      <c r="F28" s="90" t="str">
        <f>IF(LOOKUP(M28,PPTO!$J$8:$J$269,PPTO!H$8:H$269)=0," ",LOOKUP(M28,PPTO!$J$8:$J$269,PPTO!H$8:H$269))</f>
        <v xml:space="preserve"> </v>
      </c>
      <c r="G28" s="102" t="str">
        <f>IF(DATOS!$E$136&gt;0,'ACTA MODIFICACIÓN No.1'!M29,'ACTA PARCIAL No.1'!D28)</f>
        <v xml:space="preserve"> </v>
      </c>
      <c r="H28" s="102" t="e">
        <f t="shared" si="1"/>
        <v>#VALUE!</v>
      </c>
      <c r="I28" s="174">
        <v>2000</v>
      </c>
      <c r="J28" s="102" t="e">
        <f t="shared" si="2"/>
        <v>#VALUE!</v>
      </c>
      <c r="K28" s="102">
        <f t="shared" si="3"/>
        <v>2000</v>
      </c>
      <c r="L28" s="102" t="e">
        <f t="shared" si="4"/>
        <v>#VALUE!</v>
      </c>
      <c r="M28" s="108">
        <f>M27+1</f>
        <v>12</v>
      </c>
    </row>
    <row r="29" spans="1:13">
      <c r="A29" s="87" t="str">
        <f>IF(LOOKUP(M29,PPTO!$J$8:$J$269,PPTO!A$8:A$269)=0," ",LOOKUP(M29,PPTO!$J$8:$J$269,PPTO!A$8:A$269))</f>
        <v>3.03</v>
      </c>
      <c r="B29" s="91" t="str">
        <f>IF(LOOKUP(M29,PPTO!$J$8:J$269,PPTO!B$8:B$269)=0," ",LOOKUP(M29,PPTO!$J$8:J$269,PPTO!B$8:B$269))</f>
        <v xml:space="preserve"> </v>
      </c>
      <c r="C29" s="89" t="str">
        <f>IF(LOOKUP(M29,PPTO!$J$8:$J$269,PPTO!D$8:D$269)=0," ",LOOKUP(M29,PPTO!$J$8:$J$269,PPTO!D$8:D$269))</f>
        <v>M3</v>
      </c>
      <c r="D29" s="90" t="str">
        <f>IF(LOOKUP(M29,PPTO!$J$8:$J$269,PPTO!E$8:E$269)=0," ",LOOKUP(M29,PPTO!$J$8:$J$269,PPTO!E$8:E$269))</f>
        <v xml:space="preserve"> </v>
      </c>
      <c r="E29" s="90" t="str">
        <f>IF(LOOKUP(M29,PPTO!$J$8:$J$269,PPTO!F$8:F$269)=0," ",LOOKUP(M29,PPTO!$J$8:$J$269,PPTO!F$8:F$269))</f>
        <v xml:space="preserve"> </v>
      </c>
      <c r="F29" s="90" t="str">
        <f>IF(LOOKUP(M29,PPTO!$J$8:$J$269,PPTO!H$8:H$269)=0," ",LOOKUP(M29,PPTO!$J$8:$J$269,PPTO!H$8:H$269))</f>
        <v xml:space="preserve"> </v>
      </c>
      <c r="G29" s="102" t="str">
        <f>IF(DATOS!$E$136&gt;0,'ACTA MODIFICACIÓN No.1'!M30,'ACTA PARCIAL No.1'!D29)</f>
        <v xml:space="preserve"> </v>
      </c>
      <c r="H29" s="102" t="e">
        <f t="shared" si="1"/>
        <v>#VALUE!</v>
      </c>
      <c r="I29" s="174">
        <v>1587.38</v>
      </c>
      <c r="J29" s="102" t="e">
        <f t="shared" si="2"/>
        <v>#VALUE!</v>
      </c>
      <c r="K29" s="102">
        <f t="shared" si="3"/>
        <v>1587.38</v>
      </c>
      <c r="L29" s="102" t="e">
        <f t="shared" si="4"/>
        <v>#VALUE!</v>
      </c>
      <c r="M29" s="108">
        <f>M28+1</f>
        <v>13</v>
      </c>
    </row>
    <row r="30" spans="1:13">
      <c r="A30" s="87" t="str">
        <f>IF(LOOKUP(M30,PPTO!$J$8:$J$269,PPTO!A$8:A$269)=0," ",LOOKUP(M30,PPTO!$J$8:$J$269,PPTO!A$8:A$269))</f>
        <v>3.04</v>
      </c>
      <c r="B30" s="91" t="str">
        <f>IF(LOOKUP(M30,PPTO!$J$8:J$269,PPTO!B$8:B$269)=0," ",LOOKUP(M30,PPTO!$J$8:J$269,PPTO!B$8:B$269))</f>
        <v xml:space="preserve"> </v>
      </c>
      <c r="C30" s="89" t="str">
        <f>IF(LOOKUP(M30,PPTO!$J$8:$J$269,PPTO!D$8:D$269)=0," ",LOOKUP(M30,PPTO!$J$8:$J$269,PPTO!D$8:D$269))</f>
        <v>M3</v>
      </c>
      <c r="D30" s="90" t="str">
        <f>IF(LOOKUP(M30,PPTO!$J$8:$J$269,PPTO!E$8:E$269)=0," ",LOOKUP(M30,PPTO!$J$8:$J$269,PPTO!E$8:E$269))</f>
        <v xml:space="preserve"> </v>
      </c>
      <c r="E30" s="90" t="str">
        <f>IF(LOOKUP(M30,PPTO!$J$8:$J$269,PPTO!F$8:F$269)=0," ",LOOKUP(M30,PPTO!$J$8:$J$269,PPTO!F$8:F$269))</f>
        <v xml:space="preserve"> </v>
      </c>
      <c r="F30" s="90" t="str">
        <f>IF(LOOKUP(M30,PPTO!$J$8:$J$269,PPTO!H$8:H$269)=0," ",LOOKUP(M30,PPTO!$J$8:$J$269,PPTO!H$8:H$269))</f>
        <v xml:space="preserve"> </v>
      </c>
      <c r="G30" s="102" t="str">
        <f>IF(DATOS!$E$136&gt;0,'ACTA MODIFICACIÓN No.1'!M31,'ACTA PARCIAL No.1'!D30)</f>
        <v xml:space="preserve"> </v>
      </c>
      <c r="H30" s="102" t="e">
        <f t="shared" si="1"/>
        <v>#VALUE!</v>
      </c>
      <c r="I30" s="174">
        <v>21041</v>
      </c>
      <c r="J30" s="102" t="e">
        <f t="shared" si="2"/>
        <v>#VALUE!</v>
      </c>
      <c r="K30" s="102">
        <f t="shared" si="3"/>
        <v>21041</v>
      </c>
      <c r="L30" s="102" t="e">
        <f t="shared" si="4"/>
        <v>#VALUE!</v>
      </c>
      <c r="M30" s="108">
        <f t="shared" si="0"/>
        <v>14</v>
      </c>
    </row>
    <row r="31" spans="1:13">
      <c r="A31" s="87" t="str">
        <f>IF(LOOKUP(M31,PPTO!$J$8:$J$269,PPTO!A$8:A$269)=0," ",LOOKUP(M31,PPTO!$J$8:$J$269,PPTO!A$8:A$269))</f>
        <v>3.05</v>
      </c>
      <c r="B31" s="91" t="str">
        <f>IF(LOOKUP(M31,PPTO!$J$8:J$269,PPTO!B$8:B$269)=0," ",LOOKUP(M31,PPTO!$J$8:J$269,PPTO!B$8:B$269))</f>
        <v xml:space="preserve"> </v>
      </c>
      <c r="C31" s="89" t="str">
        <f>IF(LOOKUP(M31,PPTO!$J$8:$J$269,PPTO!D$8:D$269)=0," ",LOOKUP(M31,PPTO!$J$8:$J$269,PPTO!D$8:D$269))</f>
        <v>M3</v>
      </c>
      <c r="D31" s="90" t="str">
        <f>IF(LOOKUP(M31,PPTO!$J$8:$J$269,PPTO!E$8:E$269)=0," ",LOOKUP(M31,PPTO!$J$8:$J$269,PPTO!E$8:E$269))</f>
        <v xml:space="preserve"> </v>
      </c>
      <c r="E31" s="90" t="str">
        <f>IF(LOOKUP(M31,PPTO!$J$8:$J$269,PPTO!F$8:F$269)=0," ",LOOKUP(M31,PPTO!$J$8:$J$269,PPTO!F$8:F$269))</f>
        <v xml:space="preserve"> </v>
      </c>
      <c r="F31" s="90" t="str">
        <f>IF(LOOKUP(M31,PPTO!$J$8:$J$269,PPTO!H$8:H$269)=0," ",LOOKUP(M31,PPTO!$J$8:$J$269,PPTO!H$8:H$269))</f>
        <v xml:space="preserve"> </v>
      </c>
      <c r="G31" s="102" t="str">
        <f>IF(DATOS!$E$136&gt;0,'ACTA MODIFICACIÓN No.1'!M32,'ACTA PARCIAL No.1'!D31)</f>
        <v xml:space="preserve"> </v>
      </c>
      <c r="H31" s="102" t="e">
        <f t="shared" si="1"/>
        <v>#VALUE!</v>
      </c>
      <c r="I31" s="174">
        <v>900</v>
      </c>
      <c r="J31" s="102" t="e">
        <f t="shared" si="2"/>
        <v>#VALUE!</v>
      </c>
      <c r="K31" s="102">
        <f t="shared" si="3"/>
        <v>900</v>
      </c>
      <c r="L31" s="102" t="e">
        <f t="shared" si="4"/>
        <v>#VALUE!</v>
      </c>
      <c r="M31" s="108">
        <f t="shared" si="0"/>
        <v>15</v>
      </c>
    </row>
    <row r="32" spans="1:13">
      <c r="A32" s="87" t="str">
        <f>IF(LOOKUP(M32,PPTO!$J$8:$J$269,PPTO!A$8:A$269)=0," ",LOOKUP(M32,PPTO!$J$8:$J$269,PPTO!A$8:A$269))</f>
        <v>3.06</v>
      </c>
      <c r="B32" s="91" t="str">
        <f>IF(LOOKUP(M32,PPTO!$J$8:J$269,PPTO!B$8:B$269)=0," ",LOOKUP(M32,PPTO!$J$8:J$269,PPTO!B$8:B$269))</f>
        <v xml:space="preserve"> </v>
      </c>
      <c r="C32" s="89" t="str">
        <f>IF(LOOKUP(M32,PPTO!$J$8:$J$269,PPTO!D$8:D$269)=0," ",LOOKUP(M32,PPTO!$J$8:$J$269,PPTO!D$8:D$269))</f>
        <v>M3</v>
      </c>
      <c r="D32" s="90" t="str">
        <f>IF(LOOKUP(M32,PPTO!$J$8:$J$269,PPTO!E$8:E$269)=0," ",LOOKUP(M32,PPTO!$J$8:$J$269,PPTO!E$8:E$269))</f>
        <v xml:space="preserve"> </v>
      </c>
      <c r="E32" s="90" t="str">
        <f>IF(LOOKUP(M32,PPTO!$J$8:$J$269,PPTO!F$8:F$269)=0," ",LOOKUP(M32,PPTO!$J$8:$J$269,PPTO!F$8:F$269))</f>
        <v xml:space="preserve"> </v>
      </c>
      <c r="F32" s="90" t="str">
        <f>IF(LOOKUP(M32,PPTO!$J$8:$J$269,PPTO!H$8:H$269)=0," ",LOOKUP(M32,PPTO!$J$8:$J$269,PPTO!H$8:H$269))</f>
        <v xml:space="preserve"> </v>
      </c>
      <c r="G32" s="102" t="str">
        <f>IF(DATOS!$E$136&gt;0,'ACTA MODIFICACIÓN No.1'!M33,'ACTA PARCIAL No.1'!D32)</f>
        <v xml:space="preserve"> </v>
      </c>
      <c r="H32" s="102" t="e">
        <f t="shared" si="1"/>
        <v>#VALUE!</v>
      </c>
      <c r="I32" s="174">
        <v>0</v>
      </c>
      <c r="J32" s="102" t="e">
        <f t="shared" si="2"/>
        <v>#VALUE!</v>
      </c>
      <c r="K32" s="102">
        <f t="shared" si="3"/>
        <v>0</v>
      </c>
      <c r="L32" s="102" t="e">
        <f t="shared" si="4"/>
        <v>#VALUE!</v>
      </c>
      <c r="M32" s="108">
        <f t="shared" si="0"/>
        <v>16</v>
      </c>
    </row>
    <row r="33" spans="1:13">
      <c r="A33" s="87" t="str">
        <f>IF(LOOKUP(M33,PPTO!$J$8:$J$269,PPTO!A$8:A$269)=0," ",LOOKUP(M33,PPTO!$J$8:$J$269,PPTO!A$8:A$269))</f>
        <v>3.07</v>
      </c>
      <c r="B33" s="91" t="str">
        <f>IF(LOOKUP(M33,PPTO!$J$8:J$269,PPTO!B$8:B$269)=0," ",LOOKUP(M33,PPTO!$J$8:J$269,PPTO!B$8:B$269))</f>
        <v xml:space="preserve"> </v>
      </c>
      <c r="C33" s="89" t="str">
        <f>IF(LOOKUP(M33,PPTO!$J$8:$J$269,PPTO!D$8:D$269)=0," ",LOOKUP(M33,PPTO!$J$8:$J$269,PPTO!D$8:D$269))</f>
        <v>M3</v>
      </c>
      <c r="D33" s="90" t="str">
        <f>IF(LOOKUP(M33,PPTO!$J$8:$J$269,PPTO!E$8:E$269)=0," ",LOOKUP(M33,PPTO!$J$8:$J$269,PPTO!E$8:E$269))</f>
        <v xml:space="preserve"> </v>
      </c>
      <c r="E33" s="90" t="str">
        <f>IF(LOOKUP(M33,PPTO!$J$8:$J$269,PPTO!F$8:F$269)=0," ",LOOKUP(M33,PPTO!$J$8:$J$269,PPTO!F$8:F$269))</f>
        <v xml:space="preserve"> </v>
      </c>
      <c r="F33" s="90" t="str">
        <f>IF(LOOKUP(M33,PPTO!$J$8:$J$269,PPTO!H$8:H$269)=0," ",LOOKUP(M33,PPTO!$J$8:$J$269,PPTO!H$8:H$269))</f>
        <v xml:space="preserve"> </v>
      </c>
      <c r="G33" s="102" t="str">
        <f>IF(DATOS!$E$136&gt;0,'ACTA MODIFICACIÓN No.1'!M34,'ACTA PARCIAL No.1'!D33)</f>
        <v xml:space="preserve"> </v>
      </c>
      <c r="H33" s="102" t="e">
        <f t="shared" si="1"/>
        <v>#VALUE!</v>
      </c>
      <c r="I33" s="174">
        <v>0</v>
      </c>
      <c r="J33" s="102" t="e">
        <f t="shared" si="2"/>
        <v>#VALUE!</v>
      </c>
      <c r="K33" s="102">
        <f t="shared" si="3"/>
        <v>0</v>
      </c>
      <c r="L33" s="102" t="e">
        <f t="shared" si="4"/>
        <v>#VALUE!</v>
      </c>
      <c r="M33" s="108">
        <f t="shared" si="0"/>
        <v>17</v>
      </c>
    </row>
    <row r="34" spans="1:13">
      <c r="A34" s="87" t="str">
        <f>IF(LOOKUP(M34,PPTO!$J$8:$J$269,PPTO!A$8:A$269)=0," ",LOOKUP(M34,PPTO!$J$8:$J$269,PPTO!A$8:A$269))</f>
        <v>3.08</v>
      </c>
      <c r="B34" s="91" t="str">
        <f>IF(LOOKUP(M34,PPTO!$J$8:J$269,PPTO!B$8:B$269)=0," ",LOOKUP(M34,PPTO!$J$8:J$269,PPTO!B$8:B$269))</f>
        <v xml:space="preserve"> </v>
      </c>
      <c r="C34" s="89" t="str">
        <f>IF(LOOKUP(M34,PPTO!$J$8:$J$269,PPTO!D$8:D$269)=0," ",LOOKUP(M34,PPTO!$J$8:$J$269,PPTO!D$8:D$269))</f>
        <v>M2</v>
      </c>
      <c r="D34" s="90" t="str">
        <f>IF(LOOKUP(M34,PPTO!$J$8:$J$269,PPTO!E$8:E$269)=0," ",LOOKUP(M34,PPTO!$J$8:$J$269,PPTO!E$8:E$269))</f>
        <v xml:space="preserve"> </v>
      </c>
      <c r="E34" s="90" t="str">
        <f>IF(LOOKUP(M34,PPTO!$J$8:$J$269,PPTO!F$8:F$269)=0," ",LOOKUP(M34,PPTO!$J$8:$J$269,PPTO!F$8:F$269))</f>
        <v xml:space="preserve"> </v>
      </c>
      <c r="F34" s="90" t="str">
        <f>IF(LOOKUP(M34,PPTO!$J$8:$J$269,PPTO!H$8:H$269)=0," ",LOOKUP(M34,PPTO!$J$8:$J$269,PPTO!H$8:H$269))</f>
        <v xml:space="preserve"> </v>
      </c>
      <c r="G34" s="102" t="str">
        <f>IF(DATOS!$E$136&gt;0,'ACTA MODIFICACIÓN No.1'!M35,'ACTA PARCIAL No.1'!D34)</f>
        <v xml:space="preserve"> </v>
      </c>
      <c r="H34" s="102" t="e">
        <f t="shared" si="1"/>
        <v>#VALUE!</v>
      </c>
      <c r="I34" s="174">
        <v>0</v>
      </c>
      <c r="J34" s="102" t="e">
        <f t="shared" si="2"/>
        <v>#VALUE!</v>
      </c>
      <c r="K34" s="102">
        <f t="shared" si="3"/>
        <v>0</v>
      </c>
      <c r="L34" s="102" t="e">
        <f t="shared" si="4"/>
        <v>#VALUE!</v>
      </c>
      <c r="M34" s="108">
        <f t="shared" si="0"/>
        <v>18</v>
      </c>
    </row>
    <row r="35" spans="1:13">
      <c r="A35" s="87" t="str">
        <f>IF(LOOKUP(M35,PPTO!$J$8:$J$269,PPTO!A$8:A$269)=0," ",LOOKUP(M35,PPTO!$J$8:$J$269,PPTO!A$8:A$269))</f>
        <v>3.09</v>
      </c>
      <c r="B35" s="91" t="str">
        <f>IF(LOOKUP(M35,PPTO!$J$8:J$269,PPTO!B$8:B$269)=0," ",LOOKUP(M35,PPTO!$J$8:J$269,PPTO!B$8:B$269))</f>
        <v xml:space="preserve"> </v>
      </c>
      <c r="C35" s="89" t="str">
        <f>IF(LOOKUP(M35,PPTO!$J$8:$J$269,PPTO!D$8:D$269)=0," ",LOOKUP(M35,PPTO!$J$8:$J$269,PPTO!D$8:D$269))</f>
        <v>UND</v>
      </c>
      <c r="D35" s="90" t="str">
        <f>IF(LOOKUP(M35,PPTO!$J$8:$J$269,PPTO!E$8:E$269)=0," ",LOOKUP(M35,PPTO!$J$8:$J$269,PPTO!E$8:E$269))</f>
        <v xml:space="preserve"> </v>
      </c>
      <c r="E35" s="90" t="str">
        <f>IF(LOOKUP(M35,PPTO!$J$8:$J$269,PPTO!F$8:F$269)=0," ",LOOKUP(M35,PPTO!$J$8:$J$269,PPTO!F$8:F$269))</f>
        <v xml:space="preserve"> </v>
      </c>
      <c r="F35" s="90" t="str">
        <f>IF(LOOKUP(M35,PPTO!$J$8:$J$269,PPTO!H$8:H$269)=0," ",LOOKUP(M35,PPTO!$J$8:$J$269,PPTO!H$8:H$269))</f>
        <v xml:space="preserve"> </v>
      </c>
      <c r="G35" s="102" t="str">
        <f>IF(DATOS!$E$136&gt;0,'ACTA MODIFICACIÓN No.1'!M36,'ACTA PARCIAL No.1'!D35)</f>
        <v xml:space="preserve"> </v>
      </c>
      <c r="H35" s="102" t="e">
        <f t="shared" si="1"/>
        <v>#VALUE!</v>
      </c>
      <c r="I35" s="174">
        <v>0</v>
      </c>
      <c r="J35" s="102" t="e">
        <f t="shared" si="2"/>
        <v>#VALUE!</v>
      </c>
      <c r="K35" s="102">
        <f t="shared" si="3"/>
        <v>0</v>
      </c>
      <c r="L35" s="102" t="e">
        <f t="shared" si="4"/>
        <v>#VALUE!</v>
      </c>
      <c r="M35" s="108">
        <f t="shared" si="0"/>
        <v>19</v>
      </c>
    </row>
    <row r="36" spans="1:13">
      <c r="A36" s="87" t="str">
        <f>IF(LOOKUP(M36,PPTO!$J$8:$J$269,PPTO!A$8:A$269)=0," ",LOOKUP(M36,PPTO!$J$8:$J$269,PPTO!A$8:A$269))</f>
        <v>3.10</v>
      </c>
      <c r="B36" s="91" t="str">
        <f>IF(LOOKUP(M36,PPTO!$J$8:J$269,PPTO!B$8:B$269)=0," ",LOOKUP(M36,PPTO!$J$8:J$269,PPTO!B$8:B$269))</f>
        <v xml:space="preserve"> </v>
      </c>
      <c r="C36" s="89" t="str">
        <f>IF(LOOKUP(M36,PPTO!$J$8:$J$269,PPTO!D$8:D$269)=0," ",LOOKUP(M36,PPTO!$J$8:$J$269,PPTO!D$8:D$269))</f>
        <v>M3</v>
      </c>
      <c r="D36" s="90" t="str">
        <f>IF(LOOKUP(M36,PPTO!$J$8:$J$269,PPTO!E$8:E$269)=0," ",LOOKUP(M36,PPTO!$J$8:$J$269,PPTO!E$8:E$269))</f>
        <v xml:space="preserve"> </v>
      </c>
      <c r="E36" s="90" t="str">
        <f>IF(LOOKUP(M36,PPTO!$J$8:$J$269,PPTO!F$8:F$269)=0," ",LOOKUP(M36,PPTO!$J$8:$J$269,PPTO!F$8:F$269))</f>
        <v xml:space="preserve"> </v>
      </c>
      <c r="F36" s="90" t="str">
        <f>IF(LOOKUP(M36,PPTO!$J$8:$J$269,PPTO!H$8:H$269)=0," ",LOOKUP(M36,PPTO!$J$8:$J$269,PPTO!H$8:H$269))</f>
        <v xml:space="preserve"> </v>
      </c>
      <c r="G36" s="102" t="str">
        <f>IF(DATOS!$E$136&gt;0,'ACTA MODIFICACIÓN No.1'!M37,'ACTA PARCIAL No.1'!D36)</f>
        <v xml:space="preserve"> </v>
      </c>
      <c r="H36" s="102" t="e">
        <f t="shared" si="1"/>
        <v>#VALUE!</v>
      </c>
      <c r="I36" s="174">
        <v>0</v>
      </c>
      <c r="J36" s="102" t="e">
        <f t="shared" si="2"/>
        <v>#VALUE!</v>
      </c>
      <c r="K36" s="102">
        <f t="shared" si="3"/>
        <v>0</v>
      </c>
      <c r="L36" s="102" t="e">
        <f t="shared" si="4"/>
        <v>#VALUE!</v>
      </c>
      <c r="M36" s="108">
        <f t="shared" si="0"/>
        <v>20</v>
      </c>
    </row>
    <row r="37" spans="1:13">
      <c r="A37" s="87" t="str">
        <f>IF(LOOKUP(M37,PPTO!$J$8:$J$269,PPTO!A$8:A$269)=0," ",LOOKUP(M37,PPTO!$J$8:$J$269,PPTO!A$8:A$269))</f>
        <v>3.11</v>
      </c>
      <c r="B37" s="91" t="str">
        <f>IF(LOOKUP(M37,PPTO!$J$8:J$269,PPTO!B$8:B$269)=0," ",LOOKUP(M37,PPTO!$J$8:J$269,PPTO!B$8:B$269))</f>
        <v xml:space="preserve"> </v>
      </c>
      <c r="C37" s="89" t="str">
        <f>IF(LOOKUP(M37,PPTO!$J$8:$J$269,PPTO!D$8:D$269)=0," ",LOOKUP(M37,PPTO!$J$8:$J$269,PPTO!D$8:D$269))</f>
        <v>M3</v>
      </c>
      <c r="D37" s="90" t="str">
        <f>IF(LOOKUP(M37,PPTO!$J$8:$J$269,PPTO!E$8:E$269)=0," ",LOOKUP(M37,PPTO!$J$8:$J$269,PPTO!E$8:E$269))</f>
        <v xml:space="preserve"> </v>
      </c>
      <c r="E37" s="90" t="str">
        <f>IF(LOOKUP(M37,PPTO!$J$8:$J$269,PPTO!F$8:F$269)=0," ",LOOKUP(M37,PPTO!$J$8:$J$269,PPTO!F$8:F$269))</f>
        <v xml:space="preserve"> </v>
      </c>
      <c r="F37" s="90" t="str">
        <f>IF(LOOKUP(M37,PPTO!$J$8:$J$269,PPTO!H$8:H$269)=0," ",LOOKUP(M37,PPTO!$J$8:$J$269,PPTO!H$8:H$269))</f>
        <v xml:space="preserve"> </v>
      </c>
      <c r="G37" s="102" t="str">
        <f>IF(DATOS!$E$136&gt;0,'ACTA MODIFICACIÓN No.1'!M38,'ACTA PARCIAL No.1'!D37)</f>
        <v xml:space="preserve"> </v>
      </c>
      <c r="H37" s="102" t="e">
        <f t="shared" si="1"/>
        <v>#VALUE!</v>
      </c>
      <c r="I37" s="174">
        <v>0</v>
      </c>
      <c r="J37" s="102" t="e">
        <f t="shared" si="2"/>
        <v>#VALUE!</v>
      </c>
      <c r="K37" s="102">
        <f t="shared" si="3"/>
        <v>0</v>
      </c>
      <c r="L37" s="102" t="e">
        <f t="shared" si="4"/>
        <v>#VALUE!</v>
      </c>
      <c r="M37" s="108">
        <f t="shared" si="0"/>
        <v>21</v>
      </c>
    </row>
    <row r="38" spans="1:13">
      <c r="A38" s="87" t="str">
        <f>IF(LOOKUP(M38,PPTO!$J$8:$J$269,PPTO!A$8:A$269)=0," ",LOOKUP(M38,PPTO!$J$8:$J$269,PPTO!A$8:A$269))</f>
        <v>3.12</v>
      </c>
      <c r="B38" s="91" t="str">
        <f>IF(LOOKUP(M38,PPTO!$J$8:J$269,PPTO!B$8:B$269)=0," ",LOOKUP(M38,PPTO!$J$8:J$269,PPTO!B$8:B$269))</f>
        <v xml:space="preserve"> </v>
      </c>
      <c r="C38" s="89" t="str">
        <f>IF(LOOKUP(M38,PPTO!$J$8:$J$269,PPTO!D$8:D$269)=0," ",LOOKUP(M38,PPTO!$J$8:$J$269,PPTO!D$8:D$269))</f>
        <v>M3</v>
      </c>
      <c r="D38" s="90" t="str">
        <f>IF(LOOKUP(M38,PPTO!$J$8:$J$269,PPTO!E$8:E$269)=0," ",LOOKUP(M38,PPTO!$J$8:$J$269,PPTO!E$8:E$269))</f>
        <v xml:space="preserve"> </v>
      </c>
      <c r="E38" s="90" t="str">
        <f>IF(LOOKUP(M38,PPTO!$J$8:$J$269,PPTO!F$8:F$269)=0," ",LOOKUP(M38,PPTO!$J$8:$J$269,PPTO!F$8:F$269))</f>
        <v xml:space="preserve"> </v>
      </c>
      <c r="F38" s="90" t="str">
        <f>IF(LOOKUP(M38,PPTO!$J$8:$J$269,PPTO!H$8:H$269)=0," ",LOOKUP(M38,PPTO!$J$8:$J$269,PPTO!H$8:H$269))</f>
        <v xml:space="preserve"> </v>
      </c>
      <c r="G38" s="102" t="str">
        <f>IF(DATOS!$E$136&gt;0,'ACTA MODIFICACIÓN No.1'!M39,'ACTA PARCIAL No.1'!D38)</f>
        <v xml:space="preserve"> </v>
      </c>
      <c r="H38" s="102" t="e">
        <f t="shared" si="1"/>
        <v>#VALUE!</v>
      </c>
      <c r="I38" s="174">
        <v>3000</v>
      </c>
      <c r="J38" s="102" t="e">
        <f t="shared" si="2"/>
        <v>#VALUE!</v>
      </c>
      <c r="K38" s="102">
        <f t="shared" si="3"/>
        <v>3000</v>
      </c>
      <c r="L38" s="102" t="e">
        <f t="shared" si="4"/>
        <v>#VALUE!</v>
      </c>
      <c r="M38" s="108">
        <f t="shared" si="0"/>
        <v>22</v>
      </c>
    </row>
    <row r="39" spans="1:13">
      <c r="A39" s="87">
        <f>IF(LOOKUP(M39,PPTO!$J$8:$J$269,PPTO!A$8:A$269)=0," ",LOOKUP(M39,PPTO!$J$8:$J$269,PPTO!A$8:A$269))</f>
        <v>4</v>
      </c>
      <c r="B39" s="91" t="str">
        <f>IF(LOOKUP(M39,PPTO!$J$8:J$269,PPTO!B$8:B$269)=0," ",LOOKUP(M39,PPTO!$J$8:J$269,PPTO!B$8:B$269))</f>
        <v>TUBERIA DE ALCANTARILLADO</v>
      </c>
      <c r="C39" s="89" t="str">
        <f>IF(LOOKUP(M39,PPTO!$J$8:$J$269,PPTO!D$8:D$269)=0," ",LOOKUP(M39,PPTO!$J$8:$J$269,PPTO!D$8:D$269))</f>
        <v xml:space="preserve"> </v>
      </c>
      <c r="D39" s="90" t="str">
        <f>IF(LOOKUP(M39,PPTO!$J$8:$J$269,PPTO!E$8:E$269)=0," ",LOOKUP(M39,PPTO!$J$8:$J$269,PPTO!E$8:E$269))</f>
        <v xml:space="preserve"> </v>
      </c>
      <c r="E39" s="90" t="str">
        <f>IF(LOOKUP(M39,PPTO!$J$8:$J$269,PPTO!F$8:F$269)=0," ",LOOKUP(M39,PPTO!$J$8:$J$269,PPTO!F$8:F$269))</f>
        <v xml:space="preserve"> </v>
      </c>
      <c r="F39" s="90" t="str">
        <f>IF(LOOKUP(M39,PPTO!$J$8:$J$269,PPTO!H$8:H$269)=0," ",LOOKUP(M39,PPTO!$J$8:$J$269,PPTO!H$8:H$269))</f>
        <v xml:space="preserve"> </v>
      </c>
      <c r="G39" s="102"/>
      <c r="H39" s="102"/>
      <c r="I39" s="174"/>
      <c r="J39" s="102"/>
      <c r="K39" s="102"/>
      <c r="L39" s="102"/>
      <c r="M39" s="108">
        <f t="shared" si="0"/>
        <v>23</v>
      </c>
    </row>
    <row r="40" spans="1:13">
      <c r="A40" s="87" t="str">
        <f>IF(LOOKUP(M40,PPTO!$J$8:$J$269,PPTO!A$8:A$269)=0," ",LOOKUP(M40,PPTO!$J$8:$J$269,PPTO!A$8:A$269))</f>
        <v>4.01</v>
      </c>
      <c r="B40" s="91" t="str">
        <f>IF(LOOKUP(M40,PPTO!$J$8:J$269,PPTO!B$8:B$269)=0," ",LOOKUP(M40,PPTO!$J$8:J$269,PPTO!B$8:B$269))</f>
        <v xml:space="preserve"> </v>
      </c>
      <c r="C40" s="89" t="str">
        <f>IF(LOOKUP(M40,PPTO!$J$8:$J$269,PPTO!D$8:D$269)=0," ",LOOKUP(M40,PPTO!$J$8:$J$269,PPTO!D$8:D$269))</f>
        <v>ML</v>
      </c>
      <c r="D40" s="90" t="str">
        <f>IF(LOOKUP(M40,PPTO!$J$8:$J$269,PPTO!E$8:E$269)=0," ",LOOKUP(M40,PPTO!$J$8:$J$269,PPTO!E$8:E$269))</f>
        <v xml:space="preserve"> </v>
      </c>
      <c r="E40" s="90" t="str">
        <f>IF(LOOKUP(M40,PPTO!$J$8:$J$269,PPTO!F$8:F$269)=0," ",LOOKUP(M40,PPTO!$J$8:$J$269,PPTO!F$8:F$269))</f>
        <v xml:space="preserve"> </v>
      </c>
      <c r="F40" s="90" t="str">
        <f>IF(LOOKUP(M40,PPTO!$J$8:$J$269,PPTO!H$8:H$269)=0," ",LOOKUP(M40,PPTO!$J$8:$J$269,PPTO!H$8:H$269))</f>
        <v xml:space="preserve"> </v>
      </c>
      <c r="G40" s="102" t="str">
        <f>IF(DATOS!$E$136&gt;0,'ACTA MODIFICACIÓN No.1'!M41,'ACTA PARCIAL No.1'!D40)</f>
        <v xml:space="preserve"> </v>
      </c>
      <c r="H40" s="102" t="e">
        <f t="shared" si="1"/>
        <v>#VALUE!</v>
      </c>
      <c r="I40" s="174">
        <v>45</v>
      </c>
      <c r="J40" s="102" t="e">
        <f t="shared" si="2"/>
        <v>#VALUE!</v>
      </c>
      <c r="K40" s="102">
        <f t="shared" si="3"/>
        <v>45</v>
      </c>
      <c r="L40" s="102" t="e">
        <f t="shared" si="4"/>
        <v>#VALUE!</v>
      </c>
      <c r="M40" s="108">
        <f t="shared" si="0"/>
        <v>24</v>
      </c>
    </row>
    <row r="41" spans="1:13">
      <c r="A41" s="87" t="str">
        <f>IF(LOOKUP(M41,PPTO!$J$8:$J$269,PPTO!A$8:A$269)=0," ",LOOKUP(M41,PPTO!$J$8:$J$269,PPTO!A$8:A$269))</f>
        <v>4.02</v>
      </c>
      <c r="B41" s="91" t="str">
        <f>IF(LOOKUP(M41,PPTO!$J$8:J$269,PPTO!B$8:B$269)=0," ",LOOKUP(M41,PPTO!$J$8:J$269,PPTO!B$8:B$269))</f>
        <v xml:space="preserve"> </v>
      </c>
      <c r="C41" s="89" t="str">
        <f>IF(LOOKUP(M41,PPTO!$J$8:$J$269,PPTO!D$8:D$269)=0," ",LOOKUP(M41,PPTO!$J$8:$J$269,PPTO!D$8:D$269))</f>
        <v>ML</v>
      </c>
      <c r="D41" s="90" t="str">
        <f>IF(LOOKUP(M41,PPTO!$J$8:$J$269,PPTO!E$8:E$269)=0," ",LOOKUP(M41,PPTO!$J$8:$J$269,PPTO!E$8:E$269))</f>
        <v xml:space="preserve"> </v>
      </c>
      <c r="E41" s="90" t="str">
        <f>IF(LOOKUP(M41,PPTO!$J$8:$J$269,PPTO!F$8:F$269)=0," ",LOOKUP(M41,PPTO!$J$8:$J$269,PPTO!F$8:F$269))</f>
        <v xml:space="preserve"> </v>
      </c>
      <c r="F41" s="90" t="str">
        <f>IF(LOOKUP(M41,PPTO!$J$8:$J$269,PPTO!H$8:H$269)=0," ",LOOKUP(M41,PPTO!$J$8:$J$269,PPTO!H$8:H$269))</f>
        <v xml:space="preserve"> </v>
      </c>
      <c r="G41" s="102" t="str">
        <f>IF(DATOS!$E$136&gt;0,'ACTA MODIFICACIÓN No.1'!M42,'ACTA PARCIAL No.1'!D41)</f>
        <v xml:space="preserve"> </v>
      </c>
      <c r="H41" s="102" t="e">
        <f t="shared" si="1"/>
        <v>#VALUE!</v>
      </c>
      <c r="I41" s="174">
        <v>10000</v>
      </c>
      <c r="J41" s="102" t="e">
        <f t="shared" si="2"/>
        <v>#VALUE!</v>
      </c>
      <c r="K41" s="102">
        <f t="shared" si="3"/>
        <v>10000</v>
      </c>
      <c r="L41" s="102" t="e">
        <f t="shared" si="4"/>
        <v>#VALUE!</v>
      </c>
      <c r="M41" s="108">
        <f t="shared" si="0"/>
        <v>25</v>
      </c>
    </row>
    <row r="42" spans="1:13">
      <c r="A42" s="87" t="str">
        <f>IF(LOOKUP(M42,PPTO!$J$8:$J$269,PPTO!A$8:A$269)=0," ",LOOKUP(M42,PPTO!$J$8:$J$269,PPTO!A$8:A$269))</f>
        <v>4.03</v>
      </c>
      <c r="B42" s="91" t="str">
        <f>IF(LOOKUP(M42,PPTO!$J$8:J$269,PPTO!B$8:B$269)=0," ",LOOKUP(M42,PPTO!$J$8:J$269,PPTO!B$8:B$269))</f>
        <v xml:space="preserve"> </v>
      </c>
      <c r="C42" s="89" t="str">
        <f>IF(LOOKUP(M42,PPTO!$J$8:$J$269,PPTO!D$8:D$269)=0," ",LOOKUP(M42,PPTO!$J$8:$J$269,PPTO!D$8:D$269))</f>
        <v>ML</v>
      </c>
      <c r="D42" s="90" t="str">
        <f>IF(LOOKUP(M42,PPTO!$J$8:$J$269,PPTO!E$8:E$269)=0," ",LOOKUP(M42,PPTO!$J$8:$J$269,PPTO!E$8:E$269))</f>
        <v xml:space="preserve"> </v>
      </c>
      <c r="E42" s="90" t="str">
        <f>IF(LOOKUP(M42,PPTO!$J$8:$J$269,PPTO!F$8:F$269)=0," ",LOOKUP(M42,PPTO!$J$8:$J$269,PPTO!F$8:F$269))</f>
        <v xml:space="preserve"> </v>
      </c>
      <c r="F42" s="90" t="str">
        <f>IF(LOOKUP(M42,PPTO!$J$8:$J$269,PPTO!H$8:H$269)=0," ",LOOKUP(M42,PPTO!$J$8:$J$269,PPTO!H$8:H$269))</f>
        <v xml:space="preserve"> </v>
      </c>
      <c r="G42" s="102" t="str">
        <f>IF(DATOS!$E$136&gt;0,'ACTA MODIFICACIÓN No.1'!M43,'ACTA PARCIAL No.1'!D42)</f>
        <v xml:space="preserve"> </v>
      </c>
      <c r="H42" s="102" t="e">
        <f t="shared" si="1"/>
        <v>#VALUE!</v>
      </c>
      <c r="I42" s="174">
        <v>113</v>
      </c>
      <c r="J42" s="102" t="e">
        <f t="shared" si="2"/>
        <v>#VALUE!</v>
      </c>
      <c r="K42" s="102">
        <f t="shared" si="3"/>
        <v>113</v>
      </c>
      <c r="L42" s="102" t="e">
        <f t="shared" si="4"/>
        <v>#VALUE!</v>
      </c>
      <c r="M42" s="108">
        <f t="shared" si="0"/>
        <v>26</v>
      </c>
    </row>
    <row r="43" spans="1:13">
      <c r="A43" s="87" t="str">
        <f>IF(LOOKUP(M43,PPTO!$J$8:$J$269,PPTO!A$8:A$269)=0," ",LOOKUP(M43,PPTO!$J$8:$J$269,PPTO!A$8:A$269))</f>
        <v>4.04</v>
      </c>
      <c r="B43" s="91" t="str">
        <f>IF(LOOKUP(M43,PPTO!$J$8:J$269,PPTO!B$8:B$269)=0," ",LOOKUP(M43,PPTO!$J$8:J$269,PPTO!B$8:B$269))</f>
        <v xml:space="preserve"> </v>
      </c>
      <c r="C43" s="89" t="str">
        <f>IF(LOOKUP(M43,PPTO!$J$8:$J$269,PPTO!D$8:D$269)=0," ",LOOKUP(M43,PPTO!$J$8:$J$269,PPTO!D$8:D$269))</f>
        <v>ML</v>
      </c>
      <c r="D43" s="90" t="str">
        <f>IF(LOOKUP(M43,PPTO!$J$8:$J$269,PPTO!E$8:E$269)=0," ",LOOKUP(M43,PPTO!$J$8:$J$269,PPTO!E$8:E$269))</f>
        <v xml:space="preserve"> </v>
      </c>
      <c r="E43" s="90" t="str">
        <f>IF(LOOKUP(M43,PPTO!$J$8:$J$269,PPTO!F$8:F$269)=0," ",LOOKUP(M43,PPTO!$J$8:$J$269,PPTO!F$8:F$269))</f>
        <v xml:space="preserve"> </v>
      </c>
      <c r="F43" s="90" t="str">
        <f>IF(LOOKUP(M43,PPTO!$J$8:$J$269,PPTO!H$8:H$269)=0," ",LOOKUP(M43,PPTO!$J$8:$J$269,PPTO!H$8:H$269))</f>
        <v xml:space="preserve"> </v>
      </c>
      <c r="G43" s="102" t="str">
        <f>IF(DATOS!$E$136&gt;0,'ACTA MODIFICACIÓN No.1'!M44,'ACTA PARCIAL No.1'!D43)</f>
        <v xml:space="preserve"> </v>
      </c>
      <c r="H43" s="102" t="e">
        <f t="shared" si="1"/>
        <v>#VALUE!</v>
      </c>
      <c r="I43" s="174">
        <v>100</v>
      </c>
      <c r="J43" s="102" t="e">
        <f t="shared" si="2"/>
        <v>#VALUE!</v>
      </c>
      <c r="K43" s="102">
        <f t="shared" si="3"/>
        <v>100</v>
      </c>
      <c r="L43" s="102" t="e">
        <f t="shared" si="4"/>
        <v>#VALUE!</v>
      </c>
      <c r="M43" s="108">
        <f t="shared" si="0"/>
        <v>27</v>
      </c>
    </row>
    <row r="44" spans="1:13">
      <c r="A44" s="87" t="str">
        <f>IF(LOOKUP(M44,PPTO!$J$8:$J$269,PPTO!A$8:A$269)=0," ",LOOKUP(M44,PPTO!$J$8:$J$269,PPTO!A$8:A$269))</f>
        <v>4.05</v>
      </c>
      <c r="B44" s="91" t="str">
        <f>IF(LOOKUP(M44,PPTO!$J$8:J$269,PPTO!B$8:B$269)=0," ",LOOKUP(M44,PPTO!$J$8:J$269,PPTO!B$8:B$269))</f>
        <v xml:space="preserve"> </v>
      </c>
      <c r="C44" s="89" t="str">
        <f>IF(LOOKUP(M44,PPTO!$J$8:$J$269,PPTO!D$8:D$269)=0," ",LOOKUP(M44,PPTO!$J$8:$J$269,PPTO!D$8:D$269))</f>
        <v>ML</v>
      </c>
      <c r="D44" s="90" t="str">
        <f>IF(LOOKUP(M44,PPTO!$J$8:$J$269,PPTO!E$8:E$269)=0," ",LOOKUP(M44,PPTO!$J$8:$J$269,PPTO!E$8:E$269))</f>
        <v xml:space="preserve"> </v>
      </c>
      <c r="E44" s="90" t="str">
        <f>IF(LOOKUP(M44,PPTO!$J$8:$J$269,PPTO!F$8:F$269)=0," ",LOOKUP(M44,PPTO!$J$8:$J$269,PPTO!F$8:F$269))</f>
        <v xml:space="preserve"> </v>
      </c>
      <c r="F44" s="90" t="str">
        <f>IF(LOOKUP(M44,PPTO!$J$8:$J$269,PPTO!H$8:H$269)=0," ",LOOKUP(M44,PPTO!$J$8:$J$269,PPTO!H$8:H$269))</f>
        <v xml:space="preserve"> </v>
      </c>
      <c r="G44" s="102" t="str">
        <f>IF(DATOS!$E$136&gt;0,'ACTA MODIFICACIÓN No.1'!M45,'ACTA PARCIAL No.1'!D44)</f>
        <v xml:space="preserve"> </v>
      </c>
      <c r="H44" s="102" t="e">
        <f t="shared" si="1"/>
        <v>#VALUE!</v>
      </c>
      <c r="I44" s="174">
        <v>912.33</v>
      </c>
      <c r="J44" s="102" t="e">
        <f t="shared" si="2"/>
        <v>#VALUE!</v>
      </c>
      <c r="K44" s="102">
        <f t="shared" si="3"/>
        <v>912.33</v>
      </c>
      <c r="L44" s="102" t="e">
        <f t="shared" si="4"/>
        <v>#VALUE!</v>
      </c>
      <c r="M44" s="108">
        <f t="shared" si="0"/>
        <v>28</v>
      </c>
    </row>
    <row r="45" spans="1:13">
      <c r="A45" s="87" t="str">
        <f>IF(LOOKUP(M45,PPTO!$J$8:$J$269,PPTO!A$8:A$269)=0," ",LOOKUP(M45,PPTO!$J$8:$J$269,PPTO!A$8:A$269))</f>
        <v>4.06</v>
      </c>
      <c r="B45" s="91" t="str">
        <f>IF(LOOKUP(M45,PPTO!$J$8:J$269,PPTO!B$8:B$269)=0," ",LOOKUP(M45,PPTO!$J$8:J$269,PPTO!B$8:B$269))</f>
        <v xml:space="preserve"> </v>
      </c>
      <c r="C45" s="89" t="str">
        <f>IF(LOOKUP(M45,PPTO!$J$8:$J$269,PPTO!D$8:D$269)=0," ",LOOKUP(M45,PPTO!$J$8:$J$269,PPTO!D$8:D$269))</f>
        <v>UND</v>
      </c>
      <c r="D45" s="90" t="str">
        <f>IF(LOOKUP(M45,PPTO!$J$8:$J$269,PPTO!E$8:E$269)=0," ",LOOKUP(M45,PPTO!$J$8:$J$269,PPTO!E$8:E$269))</f>
        <v xml:space="preserve"> </v>
      </c>
      <c r="E45" s="90" t="str">
        <f>IF(LOOKUP(M45,PPTO!$J$8:$J$269,PPTO!F$8:F$269)=0," ",LOOKUP(M45,PPTO!$J$8:$J$269,PPTO!F$8:F$269))</f>
        <v xml:space="preserve"> </v>
      </c>
      <c r="F45" s="90" t="str">
        <f>IF(LOOKUP(M45,PPTO!$J$8:$J$269,PPTO!H$8:H$269)=0," ",LOOKUP(M45,PPTO!$J$8:$J$269,PPTO!H$8:H$269))</f>
        <v xml:space="preserve"> </v>
      </c>
      <c r="G45" s="102" t="str">
        <f>IF(DATOS!$E$136&gt;0,'ACTA MODIFICACIÓN No.1'!M46,'ACTA PARCIAL No.1'!D45)</f>
        <v xml:space="preserve"> </v>
      </c>
      <c r="H45" s="102" t="e">
        <f t="shared" si="1"/>
        <v>#VALUE!</v>
      </c>
      <c r="I45" s="174">
        <v>1259</v>
      </c>
      <c r="J45" s="102" t="e">
        <f t="shared" si="2"/>
        <v>#VALUE!</v>
      </c>
      <c r="K45" s="102">
        <f t="shared" si="3"/>
        <v>1259</v>
      </c>
      <c r="L45" s="102" t="e">
        <f t="shared" si="4"/>
        <v>#VALUE!</v>
      </c>
      <c r="M45" s="108">
        <f t="shared" si="0"/>
        <v>29</v>
      </c>
    </row>
    <row r="46" spans="1:13">
      <c r="A46" s="87" t="str">
        <f>IF(LOOKUP(M46,PPTO!$J$8:$J$269,PPTO!A$8:A$269)=0," ",LOOKUP(M46,PPTO!$J$8:$J$269,PPTO!A$8:A$269))</f>
        <v>4.09</v>
      </c>
      <c r="B46" s="91" t="str">
        <f>IF(LOOKUP(M46,PPTO!$J$8:J$269,PPTO!B$8:B$269)=0," ",LOOKUP(M46,PPTO!$J$8:J$269,PPTO!B$8:B$269))</f>
        <v xml:space="preserve"> </v>
      </c>
      <c r="C46" s="89" t="str">
        <f>IF(LOOKUP(M46,PPTO!$J$8:$J$269,PPTO!D$8:D$269)=0," ",LOOKUP(M46,PPTO!$J$8:$J$269,PPTO!D$8:D$269))</f>
        <v>M3</v>
      </c>
      <c r="D46" s="90" t="str">
        <f>IF(LOOKUP(M46,PPTO!$J$8:$J$269,PPTO!E$8:E$269)=0," ",LOOKUP(M46,PPTO!$J$8:$J$269,PPTO!E$8:E$269))</f>
        <v xml:space="preserve"> </v>
      </c>
      <c r="E46" s="90" t="str">
        <f>IF(LOOKUP(M46,PPTO!$J$8:$J$269,PPTO!F$8:F$269)=0," ",LOOKUP(M46,PPTO!$J$8:$J$269,PPTO!F$8:F$269))</f>
        <v xml:space="preserve"> </v>
      </c>
      <c r="F46" s="90" t="str">
        <f>IF(LOOKUP(M46,PPTO!$J$8:$J$269,PPTO!H$8:H$269)=0," ",LOOKUP(M46,PPTO!$J$8:$J$269,PPTO!H$8:H$269))</f>
        <v xml:space="preserve"> </v>
      </c>
      <c r="G46" s="102" t="str">
        <f>IF(DATOS!$E$136&gt;0,'ACTA MODIFICACIÓN No.1'!M47,'ACTA PARCIAL No.1'!D46)</f>
        <v xml:space="preserve"> </v>
      </c>
      <c r="H46" s="102" t="e">
        <f t="shared" si="1"/>
        <v>#VALUE!</v>
      </c>
      <c r="I46" s="174">
        <v>453</v>
      </c>
      <c r="J46" s="102" t="e">
        <f t="shared" si="2"/>
        <v>#VALUE!</v>
      </c>
      <c r="K46" s="102">
        <f t="shared" si="3"/>
        <v>453</v>
      </c>
      <c r="L46" s="102" t="e">
        <f t="shared" si="4"/>
        <v>#VALUE!</v>
      </c>
      <c r="M46" s="108">
        <f t="shared" si="0"/>
        <v>30</v>
      </c>
    </row>
    <row r="47" spans="1:13">
      <c r="A47" s="87" t="str">
        <f>IF(LOOKUP(M47,PPTO!$J$8:$J$269,PPTO!A$8:A$269)=0," ",LOOKUP(M47,PPTO!$J$8:$J$269,PPTO!A$8:A$269))</f>
        <v>4.10</v>
      </c>
      <c r="B47" s="91" t="str">
        <f>IF(LOOKUP(M47,PPTO!$J$8:J$269,PPTO!B$8:B$269)=0," ",LOOKUP(M47,PPTO!$J$8:J$269,PPTO!B$8:B$269))</f>
        <v xml:space="preserve"> </v>
      </c>
      <c r="C47" s="89" t="str">
        <f>IF(LOOKUP(M47,PPTO!$J$8:$J$269,PPTO!D$8:D$269)=0," ",LOOKUP(M47,PPTO!$J$8:$J$269,PPTO!D$8:D$269))</f>
        <v>M3</v>
      </c>
      <c r="D47" s="90" t="str">
        <f>IF(LOOKUP(M47,PPTO!$J$8:$J$269,PPTO!E$8:E$269)=0," ",LOOKUP(M47,PPTO!$J$8:$J$269,PPTO!E$8:E$269))</f>
        <v xml:space="preserve"> </v>
      </c>
      <c r="E47" s="90" t="str">
        <f>IF(LOOKUP(M47,PPTO!$J$8:$J$269,PPTO!F$8:F$269)=0," ",LOOKUP(M47,PPTO!$J$8:$J$269,PPTO!F$8:F$269))</f>
        <v xml:space="preserve"> </v>
      </c>
      <c r="F47" s="90" t="str">
        <f>IF(LOOKUP(M47,PPTO!$J$8:$J$269,PPTO!H$8:H$269)=0," ",LOOKUP(M47,PPTO!$J$8:$J$269,PPTO!H$8:H$269))</f>
        <v xml:space="preserve"> </v>
      </c>
      <c r="G47" s="102" t="str">
        <f>IF(DATOS!$E$136&gt;0,'ACTA MODIFICACIÓN No.1'!M48,'ACTA PARCIAL No.1'!D47)</f>
        <v xml:space="preserve"> </v>
      </c>
      <c r="H47" s="102" t="e">
        <f t="shared" si="1"/>
        <v>#VALUE!</v>
      </c>
      <c r="I47" s="174">
        <v>2345</v>
      </c>
      <c r="J47" s="102" t="e">
        <f t="shared" si="2"/>
        <v>#VALUE!</v>
      </c>
      <c r="K47" s="102">
        <f t="shared" si="3"/>
        <v>2345</v>
      </c>
      <c r="L47" s="102" t="e">
        <f t="shared" si="4"/>
        <v>#VALUE!</v>
      </c>
      <c r="M47" s="108">
        <f t="shared" si="0"/>
        <v>31</v>
      </c>
    </row>
    <row r="48" spans="1:13">
      <c r="A48" s="87">
        <f>IF(LOOKUP(M48,PPTO!$J$8:$J$269,PPTO!A$8:A$269)=0," ",LOOKUP(M48,PPTO!$J$8:$J$269,PPTO!A$8:A$269))</f>
        <v>5</v>
      </c>
      <c r="B48" s="91" t="str">
        <f>IF(LOOKUP(M48,PPTO!$J$8:J$269,PPTO!B$8:B$269)=0," ",LOOKUP(M48,PPTO!$J$8:J$269,PPTO!B$8:B$269))</f>
        <v>ESTRUCTURAS SANITARIAS EN CONCRETO</v>
      </c>
      <c r="C48" s="89" t="str">
        <f>IF(LOOKUP(M48,PPTO!$J$8:$J$269,PPTO!D$8:D$269)=0," ",LOOKUP(M48,PPTO!$J$8:$J$269,PPTO!D$8:D$269))</f>
        <v xml:space="preserve"> </v>
      </c>
      <c r="D48" s="90" t="str">
        <f>IF(LOOKUP(M48,PPTO!$J$8:$J$269,PPTO!E$8:E$269)=0," ",LOOKUP(M48,PPTO!$J$8:$J$269,PPTO!E$8:E$269))</f>
        <v xml:space="preserve"> </v>
      </c>
      <c r="E48" s="90" t="str">
        <f>IF(LOOKUP(M48,PPTO!$J$8:$J$269,PPTO!F$8:F$269)=0," ",LOOKUP(M48,PPTO!$J$8:$J$269,PPTO!F$8:F$269))</f>
        <v xml:space="preserve"> </v>
      </c>
      <c r="F48" s="90" t="str">
        <f>IF(LOOKUP(M48,PPTO!$J$8:$J$269,PPTO!H$8:H$269)=0," ",LOOKUP(M48,PPTO!$J$8:$J$269,PPTO!H$8:H$269))</f>
        <v xml:space="preserve"> </v>
      </c>
      <c r="G48" s="102"/>
      <c r="H48" s="102"/>
      <c r="I48" s="174"/>
      <c r="J48" s="102"/>
      <c r="K48" s="102"/>
      <c r="L48" s="102"/>
      <c r="M48" s="108">
        <f t="shared" si="0"/>
        <v>32</v>
      </c>
    </row>
    <row r="49" spans="1:13">
      <c r="A49" s="87" t="str">
        <f>IF(LOOKUP(M49,PPTO!$J$8:$J$269,PPTO!A$8:A$269)=0," ",LOOKUP(M49,PPTO!$J$8:$J$269,PPTO!A$8:A$269))</f>
        <v>5.01</v>
      </c>
      <c r="B49" s="91" t="str">
        <f>IF(LOOKUP(M49,PPTO!$J$8:J$269,PPTO!B$8:B$269)=0," ",LOOKUP(M49,PPTO!$J$8:J$269,PPTO!B$8:B$269))</f>
        <v xml:space="preserve"> </v>
      </c>
      <c r="C49" s="89" t="str">
        <f>IF(LOOKUP(M49,PPTO!$J$8:$J$269,PPTO!D$8:D$269)=0," ",LOOKUP(M49,PPTO!$J$8:$J$269,PPTO!D$8:D$269))</f>
        <v>M3</v>
      </c>
      <c r="D49" s="90" t="str">
        <f>IF(LOOKUP(M49,PPTO!$J$8:$J$269,PPTO!E$8:E$269)=0," ",LOOKUP(M49,PPTO!$J$8:$J$269,PPTO!E$8:E$269))</f>
        <v xml:space="preserve"> </v>
      </c>
      <c r="E49" s="90" t="str">
        <f>IF(LOOKUP(M49,PPTO!$J$8:$J$269,PPTO!F$8:F$269)=0," ",LOOKUP(M49,PPTO!$J$8:$J$269,PPTO!F$8:F$269))</f>
        <v xml:space="preserve"> </v>
      </c>
      <c r="F49" s="90" t="str">
        <f>IF(LOOKUP(M49,PPTO!$J$8:$J$269,PPTO!H$8:H$269)=0," ",LOOKUP(M49,PPTO!$J$8:$J$269,PPTO!H$8:H$269))</f>
        <v xml:space="preserve"> </v>
      </c>
      <c r="G49" s="102" t="str">
        <f>IF(DATOS!$E$136&gt;0,'ACTA MODIFICACIÓN No.1'!M50,'ACTA PARCIAL No.1'!D49)</f>
        <v xml:space="preserve"> </v>
      </c>
      <c r="H49" s="102" t="e">
        <f t="shared" si="1"/>
        <v>#VALUE!</v>
      </c>
      <c r="I49" s="174">
        <v>18.48</v>
      </c>
      <c r="J49" s="102" t="e">
        <f t="shared" si="2"/>
        <v>#VALUE!</v>
      </c>
      <c r="K49" s="102">
        <f t="shared" si="3"/>
        <v>18.48</v>
      </c>
      <c r="L49" s="102" t="e">
        <f t="shared" si="4"/>
        <v>#VALUE!</v>
      </c>
      <c r="M49" s="108">
        <f t="shared" si="0"/>
        <v>33</v>
      </c>
    </row>
    <row r="50" spans="1:13">
      <c r="A50" s="87" t="str">
        <f>IF(LOOKUP(M50,PPTO!$J$8:$J$269,PPTO!A$8:A$269)=0," ",LOOKUP(M50,PPTO!$J$8:$J$269,PPTO!A$8:A$269))</f>
        <v>5.02</v>
      </c>
      <c r="B50" s="91" t="str">
        <f>IF(LOOKUP(M50,PPTO!$J$8:J$269,PPTO!B$8:B$269)=0," ",LOOKUP(M50,PPTO!$J$8:J$269,PPTO!B$8:B$269))</f>
        <v xml:space="preserve"> </v>
      </c>
      <c r="C50" s="89" t="str">
        <f>IF(LOOKUP(M50,PPTO!$J$8:$J$269,PPTO!D$8:D$269)=0," ",LOOKUP(M50,PPTO!$J$8:$J$269,PPTO!D$8:D$269))</f>
        <v>UND</v>
      </c>
      <c r="D50" s="90" t="str">
        <f>IF(LOOKUP(M50,PPTO!$J$8:$J$269,PPTO!E$8:E$269)=0," ",LOOKUP(M50,PPTO!$J$8:$J$269,PPTO!E$8:E$269))</f>
        <v xml:space="preserve"> </v>
      </c>
      <c r="E50" s="90" t="str">
        <f>IF(LOOKUP(M50,PPTO!$J$8:$J$269,PPTO!F$8:F$269)=0," ",LOOKUP(M50,PPTO!$J$8:$J$269,PPTO!F$8:F$269))</f>
        <v xml:space="preserve"> </v>
      </c>
      <c r="F50" s="90" t="str">
        <f>IF(LOOKUP(M50,PPTO!$J$8:$J$269,PPTO!H$8:H$269)=0," ",LOOKUP(M50,PPTO!$J$8:$J$269,PPTO!H$8:H$269))</f>
        <v xml:space="preserve"> </v>
      </c>
      <c r="G50" s="102" t="str">
        <f>IF(DATOS!$E$136&gt;0,'ACTA MODIFICACIÓN No.1'!M51,'ACTA PARCIAL No.1'!D50)</f>
        <v xml:space="preserve"> </v>
      </c>
      <c r="H50" s="102" t="e">
        <f t="shared" si="1"/>
        <v>#VALUE!</v>
      </c>
      <c r="I50" s="174">
        <v>543</v>
      </c>
      <c r="J50" s="102" t="e">
        <f t="shared" si="2"/>
        <v>#VALUE!</v>
      </c>
      <c r="K50" s="102">
        <f t="shared" si="3"/>
        <v>543</v>
      </c>
      <c r="L50" s="102" t="e">
        <f t="shared" si="4"/>
        <v>#VALUE!</v>
      </c>
      <c r="M50" s="108">
        <f t="shared" si="0"/>
        <v>34</v>
      </c>
    </row>
    <row r="51" spans="1:13">
      <c r="A51" s="87" t="str">
        <f>IF(LOOKUP(M51,PPTO!$J$8:$J$269,PPTO!A$8:A$269)=0," ",LOOKUP(M51,PPTO!$J$8:$J$269,PPTO!A$8:A$269))</f>
        <v>5.03</v>
      </c>
      <c r="B51" s="91" t="str">
        <f>IF(LOOKUP(M51,PPTO!$J$8:J$269,PPTO!B$8:B$269)=0," ",LOOKUP(M51,PPTO!$J$8:J$269,PPTO!B$8:B$269))</f>
        <v xml:space="preserve"> </v>
      </c>
      <c r="C51" s="89" t="str">
        <f>IF(LOOKUP(M51,PPTO!$J$8:$J$269,PPTO!D$8:D$269)=0," ",LOOKUP(M51,PPTO!$J$8:$J$269,PPTO!D$8:D$269))</f>
        <v>UND</v>
      </c>
      <c r="D51" s="90" t="str">
        <f>IF(LOOKUP(M51,PPTO!$J$8:$J$269,PPTO!E$8:E$269)=0," ",LOOKUP(M51,PPTO!$J$8:$J$269,PPTO!E$8:E$269))</f>
        <v xml:space="preserve"> </v>
      </c>
      <c r="E51" s="90" t="str">
        <f>IF(LOOKUP(M51,PPTO!$J$8:$J$269,PPTO!F$8:F$269)=0," ",LOOKUP(M51,PPTO!$J$8:$J$269,PPTO!F$8:F$269))</f>
        <v xml:space="preserve"> </v>
      </c>
      <c r="F51" s="90" t="str">
        <f>IF(LOOKUP(M51,PPTO!$J$8:$J$269,PPTO!H$8:H$269)=0," ",LOOKUP(M51,PPTO!$J$8:$J$269,PPTO!H$8:H$269))</f>
        <v xml:space="preserve"> </v>
      </c>
      <c r="G51" s="102" t="str">
        <f>IF(DATOS!$E$136&gt;0,'ACTA MODIFICACIÓN No.1'!M52,'ACTA PARCIAL No.1'!D51)</f>
        <v xml:space="preserve"> </v>
      </c>
      <c r="H51" s="102" t="e">
        <f t="shared" si="1"/>
        <v>#VALUE!</v>
      </c>
      <c r="I51" s="174">
        <v>1234</v>
      </c>
      <c r="J51" s="102" t="e">
        <f t="shared" si="2"/>
        <v>#VALUE!</v>
      </c>
      <c r="K51" s="102">
        <f t="shared" si="3"/>
        <v>1234</v>
      </c>
      <c r="L51" s="102" t="e">
        <f t="shared" si="4"/>
        <v>#VALUE!</v>
      </c>
      <c r="M51" s="108">
        <f t="shared" si="0"/>
        <v>35</v>
      </c>
    </row>
    <row r="52" spans="1:13">
      <c r="A52" s="87" t="str">
        <f>IF(LOOKUP(M52,PPTO!$J$8:$J$269,PPTO!A$8:A$269)=0," ",LOOKUP(M52,PPTO!$J$8:$J$269,PPTO!A$8:A$269))</f>
        <v>5.04</v>
      </c>
      <c r="B52" s="91" t="str">
        <f>IF(LOOKUP(M52,PPTO!$J$8:J$269,PPTO!B$8:B$269)=0," ",LOOKUP(M52,PPTO!$J$8:J$269,PPTO!B$8:B$269))</f>
        <v xml:space="preserve"> </v>
      </c>
      <c r="C52" s="89" t="str">
        <f>IF(LOOKUP(M52,PPTO!$J$8:$J$269,PPTO!D$8:D$269)=0," ",LOOKUP(M52,PPTO!$J$8:$J$269,PPTO!D$8:D$269))</f>
        <v>UND</v>
      </c>
      <c r="D52" s="90" t="str">
        <f>IF(LOOKUP(M52,PPTO!$J$8:$J$269,PPTO!E$8:E$269)=0," ",LOOKUP(M52,PPTO!$J$8:$J$269,PPTO!E$8:E$269))</f>
        <v xml:space="preserve"> </v>
      </c>
      <c r="E52" s="90" t="str">
        <f>IF(LOOKUP(M52,PPTO!$J$8:$J$269,PPTO!F$8:F$269)=0," ",LOOKUP(M52,PPTO!$J$8:$J$269,PPTO!F$8:F$269))</f>
        <v xml:space="preserve"> </v>
      </c>
      <c r="F52" s="90" t="str">
        <f>IF(LOOKUP(M52,PPTO!$J$8:$J$269,PPTO!H$8:H$269)=0," ",LOOKUP(M52,PPTO!$J$8:$J$269,PPTO!H$8:H$269))</f>
        <v xml:space="preserve"> </v>
      </c>
      <c r="G52" s="102" t="str">
        <f>IF(DATOS!$E$136&gt;0,'ACTA MODIFICACIÓN No.1'!M53,'ACTA PARCIAL No.1'!D52)</f>
        <v xml:space="preserve"> </v>
      </c>
      <c r="H52" s="102" t="e">
        <f t="shared" si="1"/>
        <v>#VALUE!</v>
      </c>
      <c r="I52" s="174">
        <v>140</v>
      </c>
      <c r="J52" s="102" t="e">
        <f t="shared" si="2"/>
        <v>#VALUE!</v>
      </c>
      <c r="K52" s="102">
        <f t="shared" si="3"/>
        <v>140</v>
      </c>
      <c r="L52" s="102" t="e">
        <f t="shared" si="4"/>
        <v>#VALUE!</v>
      </c>
      <c r="M52" s="108">
        <f t="shared" si="0"/>
        <v>36</v>
      </c>
    </row>
    <row r="53" spans="1:13">
      <c r="A53" s="87" t="str">
        <f>IF(LOOKUP(M53,PPTO!$J$8:$J$269,PPTO!A$8:A$269)=0," ",LOOKUP(M53,PPTO!$J$8:$J$269,PPTO!A$8:A$269))</f>
        <v>5.05</v>
      </c>
      <c r="B53" s="91" t="str">
        <f>IF(LOOKUP(M53,PPTO!$J$8:J$269,PPTO!B$8:B$269)=0," ",LOOKUP(M53,PPTO!$J$8:J$269,PPTO!B$8:B$269))</f>
        <v xml:space="preserve"> </v>
      </c>
      <c r="C53" s="89" t="str">
        <f>IF(LOOKUP(M53,PPTO!$J$8:$J$269,PPTO!D$8:D$269)=0," ",LOOKUP(M53,PPTO!$J$8:$J$269,PPTO!D$8:D$269))</f>
        <v>UND</v>
      </c>
      <c r="D53" s="90" t="str">
        <f>IF(LOOKUP(M53,PPTO!$J$8:$J$269,PPTO!E$8:E$269)=0," ",LOOKUP(M53,PPTO!$J$8:$J$269,PPTO!E$8:E$269))</f>
        <v xml:space="preserve"> </v>
      </c>
      <c r="E53" s="90" t="str">
        <f>IF(LOOKUP(M53,PPTO!$J$8:$J$269,PPTO!F$8:F$269)=0," ",LOOKUP(M53,PPTO!$J$8:$J$269,PPTO!F$8:F$269))</f>
        <v xml:space="preserve"> </v>
      </c>
      <c r="F53" s="90" t="str">
        <f>IF(LOOKUP(M53,PPTO!$J$8:$J$269,PPTO!H$8:H$269)=0," ",LOOKUP(M53,PPTO!$J$8:$J$269,PPTO!H$8:H$269))</f>
        <v xml:space="preserve"> </v>
      </c>
      <c r="G53" s="102" t="str">
        <f>IF(DATOS!$E$136&gt;0,'ACTA MODIFICACIÓN No.1'!M54,'ACTA PARCIAL No.1'!D53)</f>
        <v xml:space="preserve"> </v>
      </c>
      <c r="H53" s="102" t="e">
        <f t="shared" si="1"/>
        <v>#VALUE!</v>
      </c>
      <c r="I53" s="174">
        <v>0</v>
      </c>
      <c r="J53" s="102" t="e">
        <f t="shared" si="2"/>
        <v>#VALUE!</v>
      </c>
      <c r="K53" s="102">
        <f t="shared" si="3"/>
        <v>0</v>
      </c>
      <c r="L53" s="102" t="e">
        <f t="shared" si="4"/>
        <v>#VALUE!</v>
      </c>
      <c r="M53" s="108">
        <f t="shared" si="0"/>
        <v>37</v>
      </c>
    </row>
    <row r="54" spans="1:13">
      <c r="A54" s="87" t="str">
        <f>IF(LOOKUP(M54,PPTO!$J$8:$J$269,PPTO!A$8:A$269)=0," ",LOOKUP(M54,PPTO!$J$8:$J$269,PPTO!A$8:A$269))</f>
        <v>5.06</v>
      </c>
      <c r="B54" s="91" t="str">
        <f>IF(LOOKUP(M54,PPTO!$J$8:J$269,PPTO!B$8:B$269)=0," ",LOOKUP(M54,PPTO!$J$8:J$269,PPTO!B$8:B$269))</f>
        <v xml:space="preserve"> </v>
      </c>
      <c r="C54" s="89" t="str">
        <f>IF(LOOKUP(M54,PPTO!$J$8:$J$269,PPTO!D$8:D$269)=0," ",LOOKUP(M54,PPTO!$J$8:$J$269,PPTO!D$8:D$269))</f>
        <v>UND</v>
      </c>
      <c r="D54" s="90" t="str">
        <f>IF(LOOKUP(M54,PPTO!$J$8:$J$269,PPTO!E$8:E$269)=0," ",LOOKUP(M54,PPTO!$J$8:$J$269,PPTO!E$8:E$269))</f>
        <v xml:space="preserve"> </v>
      </c>
      <c r="E54" s="90" t="str">
        <f>IF(LOOKUP(M54,PPTO!$J$8:$J$269,PPTO!F$8:F$269)=0," ",LOOKUP(M54,PPTO!$J$8:$J$269,PPTO!F$8:F$269))</f>
        <v xml:space="preserve"> </v>
      </c>
      <c r="F54" s="90" t="str">
        <f>IF(LOOKUP(M54,PPTO!$J$8:$J$269,PPTO!H$8:H$269)=0," ",LOOKUP(M54,PPTO!$J$8:$J$269,PPTO!H$8:H$269))</f>
        <v xml:space="preserve"> </v>
      </c>
      <c r="G54" s="102" t="str">
        <f>IF(DATOS!$E$136&gt;0,'ACTA MODIFICACIÓN No.1'!M55,'ACTA PARCIAL No.1'!D54)</f>
        <v xml:space="preserve"> </v>
      </c>
      <c r="H54" s="102" t="e">
        <f t="shared" si="1"/>
        <v>#VALUE!</v>
      </c>
      <c r="I54" s="174">
        <v>19</v>
      </c>
      <c r="J54" s="102" t="e">
        <f t="shared" si="2"/>
        <v>#VALUE!</v>
      </c>
      <c r="K54" s="102">
        <f t="shared" si="3"/>
        <v>19</v>
      </c>
      <c r="L54" s="102" t="e">
        <f t="shared" si="4"/>
        <v>#VALUE!</v>
      </c>
      <c r="M54" s="108">
        <f t="shared" si="0"/>
        <v>38</v>
      </c>
    </row>
    <row r="55" spans="1:13">
      <c r="A55" s="87">
        <f>IF(LOOKUP(M55,PPTO!$J$8:$J$269,PPTO!A$8:A$269)=0," ",LOOKUP(M55,PPTO!$J$8:$J$269,PPTO!A$8:A$269))</f>
        <v>6</v>
      </c>
      <c r="B55" s="91" t="str">
        <f>IF(LOOKUP(M55,PPTO!$J$8:J$269,PPTO!B$8:B$269)=0," ",LOOKUP(M55,PPTO!$J$8:J$269,PPTO!B$8:B$269))</f>
        <v>CONSTRUCCION DE PAVIMENTOS</v>
      </c>
      <c r="C55" s="89" t="str">
        <f>IF(LOOKUP(M55,PPTO!$J$8:$J$269,PPTO!D$8:D$269)=0," ",LOOKUP(M55,PPTO!$J$8:$J$269,PPTO!D$8:D$269))</f>
        <v xml:space="preserve"> </v>
      </c>
      <c r="D55" s="90" t="str">
        <f>IF(LOOKUP(M55,PPTO!$J$8:$J$269,PPTO!E$8:E$269)=0," ",LOOKUP(M55,PPTO!$J$8:$J$269,PPTO!E$8:E$269))</f>
        <v xml:space="preserve"> </v>
      </c>
      <c r="E55" s="90" t="str">
        <f>IF(LOOKUP(M55,PPTO!$J$8:$J$269,PPTO!F$8:F$269)=0," ",LOOKUP(M55,PPTO!$J$8:$J$269,PPTO!F$8:F$269))</f>
        <v xml:space="preserve"> </v>
      </c>
      <c r="F55" s="90" t="str">
        <f>IF(LOOKUP(M55,PPTO!$J$8:$J$269,PPTO!H$8:H$269)=0," ",LOOKUP(M55,PPTO!$J$8:$J$269,PPTO!H$8:H$269))</f>
        <v xml:space="preserve"> </v>
      </c>
      <c r="G55" s="102"/>
      <c r="H55" s="102"/>
      <c r="I55" s="174"/>
      <c r="J55" s="102"/>
      <c r="K55" s="102"/>
      <c r="L55" s="102"/>
      <c r="M55" s="108">
        <f t="shared" si="0"/>
        <v>39</v>
      </c>
    </row>
    <row r="56" spans="1:13">
      <c r="A56" s="87" t="str">
        <f>IF(LOOKUP(M56,PPTO!$J$8:$J$269,PPTO!A$8:A$269)=0," ",LOOKUP(M56,PPTO!$J$8:$J$269,PPTO!A$8:A$269))</f>
        <v>6.01</v>
      </c>
      <c r="B56" s="91" t="str">
        <f>IF(LOOKUP(M56,PPTO!$J$8:J$269,PPTO!B$8:B$269)=0," ",LOOKUP(M56,PPTO!$J$8:J$269,PPTO!B$8:B$269))</f>
        <v xml:space="preserve"> </v>
      </c>
      <c r="C56" s="89" t="str">
        <f>IF(LOOKUP(M56,PPTO!$J$8:$J$269,PPTO!D$8:D$269)=0," ",LOOKUP(M56,PPTO!$J$8:$J$269,PPTO!D$8:D$269))</f>
        <v>M2</v>
      </c>
      <c r="D56" s="90" t="str">
        <f>IF(LOOKUP(M56,PPTO!$J$8:$J$269,PPTO!E$8:E$269)=0," ",LOOKUP(M56,PPTO!$J$8:$J$269,PPTO!E$8:E$269))</f>
        <v xml:space="preserve"> </v>
      </c>
      <c r="E56" s="90" t="str">
        <f>IF(LOOKUP(M56,PPTO!$J$8:$J$269,PPTO!F$8:F$269)=0," ",LOOKUP(M56,PPTO!$J$8:$J$269,PPTO!F$8:F$269))</f>
        <v xml:space="preserve"> </v>
      </c>
      <c r="F56" s="90" t="str">
        <f>IF(LOOKUP(M56,PPTO!$J$8:$J$269,PPTO!H$8:H$269)=0," ",LOOKUP(M56,PPTO!$J$8:$J$269,PPTO!H$8:H$269))</f>
        <v xml:space="preserve"> </v>
      </c>
      <c r="G56" s="102" t="str">
        <f>IF(DATOS!$E$136&gt;0,'ACTA MODIFICACIÓN No.1'!M57,'ACTA PARCIAL No.1'!D56)</f>
        <v xml:space="preserve"> </v>
      </c>
      <c r="H56" s="102" t="e">
        <f t="shared" si="1"/>
        <v>#VALUE!</v>
      </c>
      <c r="I56" s="174">
        <v>4000</v>
      </c>
      <c r="J56" s="102" t="e">
        <f t="shared" si="2"/>
        <v>#VALUE!</v>
      </c>
      <c r="K56" s="102">
        <f t="shared" si="3"/>
        <v>4000</v>
      </c>
      <c r="L56" s="102" t="e">
        <f t="shared" si="4"/>
        <v>#VALUE!</v>
      </c>
      <c r="M56" s="108">
        <f t="shared" si="0"/>
        <v>40</v>
      </c>
    </row>
    <row r="57" spans="1:13">
      <c r="A57" s="87" t="str">
        <f>IF(LOOKUP(M57,PPTO!$J$8:$J$269,PPTO!A$8:A$269)=0," ",LOOKUP(M57,PPTO!$J$8:$J$269,PPTO!A$8:A$269))</f>
        <v>6.02</v>
      </c>
      <c r="B57" s="91" t="str">
        <f>IF(LOOKUP(M57,PPTO!$J$8:J$269,PPTO!B$8:B$269)=0," ",LOOKUP(M57,PPTO!$J$8:J$269,PPTO!B$8:B$269))</f>
        <v xml:space="preserve"> </v>
      </c>
      <c r="C57" s="89" t="str">
        <f>IF(LOOKUP(M57,PPTO!$J$8:$J$269,PPTO!D$8:D$269)=0," ",LOOKUP(M57,PPTO!$J$8:$J$269,PPTO!D$8:D$269))</f>
        <v>M3</v>
      </c>
      <c r="D57" s="90" t="str">
        <f>IF(LOOKUP(M57,PPTO!$J$8:$J$269,PPTO!E$8:E$269)=0," ",LOOKUP(M57,PPTO!$J$8:$J$269,PPTO!E$8:E$269))</f>
        <v xml:space="preserve"> </v>
      </c>
      <c r="E57" s="90" t="str">
        <f>IF(LOOKUP(M57,PPTO!$J$8:$J$269,PPTO!F$8:F$269)=0," ",LOOKUP(M57,PPTO!$J$8:$J$269,PPTO!F$8:F$269))</f>
        <v xml:space="preserve"> </v>
      </c>
      <c r="F57" s="90" t="str">
        <f>IF(LOOKUP(M57,PPTO!$J$8:$J$269,PPTO!H$8:H$269)=0," ",LOOKUP(M57,PPTO!$J$8:$J$269,PPTO!H$8:H$269))</f>
        <v xml:space="preserve"> </v>
      </c>
      <c r="G57" s="102" t="str">
        <f>IF(DATOS!$E$136&gt;0,'ACTA MODIFICACIÓN No.1'!M58,'ACTA PARCIAL No.1'!D57)</f>
        <v xml:space="preserve"> </v>
      </c>
      <c r="H57" s="102" t="e">
        <f t="shared" si="1"/>
        <v>#VALUE!</v>
      </c>
      <c r="I57" s="174">
        <v>12</v>
      </c>
      <c r="J57" s="102" t="e">
        <f t="shared" si="2"/>
        <v>#VALUE!</v>
      </c>
      <c r="K57" s="102">
        <f t="shared" si="3"/>
        <v>12</v>
      </c>
      <c r="L57" s="102" t="e">
        <f t="shared" si="4"/>
        <v>#VALUE!</v>
      </c>
      <c r="M57" s="108">
        <f t="shared" si="0"/>
        <v>41</v>
      </c>
    </row>
    <row r="58" spans="1:13">
      <c r="A58" s="87" t="str">
        <f>IF(LOOKUP(M58,PPTO!$J$8:$J$269,PPTO!A$8:A$269)=0," ",LOOKUP(M58,PPTO!$J$8:$J$269,PPTO!A$8:A$269))</f>
        <v>6.04</v>
      </c>
      <c r="B58" s="91" t="str">
        <f>IF(LOOKUP(M58,PPTO!$J$8:J$269,PPTO!B$8:B$269)=0," ",LOOKUP(M58,PPTO!$J$8:J$269,PPTO!B$8:B$269))</f>
        <v xml:space="preserve"> </v>
      </c>
      <c r="C58" s="89" t="str">
        <f>IF(LOOKUP(M58,PPTO!$J$8:$J$269,PPTO!D$8:D$269)=0," ",LOOKUP(M58,PPTO!$J$8:$J$269,PPTO!D$8:D$269))</f>
        <v>M2</v>
      </c>
      <c r="D58" s="90" t="str">
        <f>IF(LOOKUP(M58,PPTO!$J$8:$J$269,PPTO!E$8:E$269)=0," ",LOOKUP(M58,PPTO!$J$8:$J$269,PPTO!E$8:E$269))</f>
        <v xml:space="preserve"> </v>
      </c>
      <c r="E58" s="90" t="str">
        <f>IF(LOOKUP(M58,PPTO!$J$8:$J$269,PPTO!F$8:F$269)=0," ",LOOKUP(M58,PPTO!$J$8:$J$269,PPTO!F$8:F$269))</f>
        <v xml:space="preserve"> </v>
      </c>
      <c r="F58" s="90" t="str">
        <f>IF(LOOKUP(M58,PPTO!$J$8:$J$269,PPTO!H$8:H$269)=0," ",LOOKUP(M58,PPTO!$J$8:$J$269,PPTO!H$8:H$269))</f>
        <v xml:space="preserve"> </v>
      </c>
      <c r="G58" s="102" t="str">
        <f>IF(DATOS!$E$136&gt;0,'ACTA MODIFICACIÓN No.1'!M59,'ACTA PARCIAL No.1'!D58)</f>
        <v xml:space="preserve"> </v>
      </c>
      <c r="H58" s="102" t="e">
        <f t="shared" si="1"/>
        <v>#VALUE!</v>
      </c>
      <c r="I58" s="174">
        <v>1234</v>
      </c>
      <c r="J58" s="102" t="e">
        <f t="shared" si="2"/>
        <v>#VALUE!</v>
      </c>
      <c r="K58" s="102">
        <f t="shared" si="3"/>
        <v>1234</v>
      </c>
      <c r="L58" s="102" t="e">
        <f t="shared" si="4"/>
        <v>#VALUE!</v>
      </c>
      <c r="M58" s="108">
        <f t="shared" si="0"/>
        <v>42</v>
      </c>
    </row>
    <row r="59" spans="1:13">
      <c r="A59" s="87" t="str">
        <f>IF(LOOKUP(M59,PPTO!$J$8:$J$269,PPTO!A$8:A$269)=0," ",LOOKUP(M59,PPTO!$J$8:$J$269,PPTO!A$8:A$269))</f>
        <v>6.05</v>
      </c>
      <c r="B59" s="91" t="str">
        <f>IF(LOOKUP(M59,PPTO!$J$8:J$269,PPTO!B$8:B$269)=0," ",LOOKUP(M59,PPTO!$J$8:J$269,PPTO!B$8:B$269))</f>
        <v xml:space="preserve"> </v>
      </c>
      <c r="C59" s="89" t="str">
        <f>IF(LOOKUP(M59,PPTO!$J$8:$J$269,PPTO!D$8:D$269)=0," ",LOOKUP(M59,PPTO!$J$8:$J$269,PPTO!D$8:D$269))</f>
        <v>ML</v>
      </c>
      <c r="D59" s="90" t="str">
        <f>IF(LOOKUP(M59,PPTO!$J$8:$J$269,PPTO!E$8:E$269)=0," ",LOOKUP(M59,PPTO!$J$8:$J$269,PPTO!E$8:E$269))</f>
        <v xml:space="preserve"> </v>
      </c>
      <c r="E59" s="90" t="str">
        <f>IF(LOOKUP(M59,PPTO!$J$8:$J$269,PPTO!F$8:F$269)=0," ",LOOKUP(M59,PPTO!$J$8:$J$269,PPTO!F$8:F$269))</f>
        <v xml:space="preserve"> </v>
      </c>
      <c r="F59" s="90" t="str">
        <f>IF(LOOKUP(M59,PPTO!$J$8:$J$269,PPTO!H$8:H$269)=0," ",LOOKUP(M59,PPTO!$J$8:$J$269,PPTO!H$8:H$269))</f>
        <v xml:space="preserve"> </v>
      </c>
      <c r="G59" s="102" t="str">
        <f>IF(DATOS!$E$136&gt;0,'ACTA MODIFICACIÓN No.1'!M60,'ACTA PARCIAL No.1'!D59)</f>
        <v xml:space="preserve"> </v>
      </c>
      <c r="H59" s="102" t="e">
        <f t="shared" si="1"/>
        <v>#VALUE!</v>
      </c>
      <c r="I59" s="174">
        <v>1233</v>
      </c>
      <c r="J59" s="102" t="e">
        <f t="shared" si="2"/>
        <v>#VALUE!</v>
      </c>
      <c r="K59" s="102">
        <f t="shared" si="3"/>
        <v>1233</v>
      </c>
      <c r="L59" s="102" t="e">
        <f t="shared" si="4"/>
        <v>#VALUE!</v>
      </c>
      <c r="M59" s="108">
        <f t="shared" si="0"/>
        <v>43</v>
      </c>
    </row>
    <row r="60" spans="1:13">
      <c r="A60" s="87" t="str">
        <f>IF(LOOKUP(M60,PPTO!$J$8:$J$269,PPTO!A$8:A$269)=0," ",LOOKUP(M60,PPTO!$J$8:$J$269,PPTO!A$8:A$269))</f>
        <v>6.06</v>
      </c>
      <c r="B60" s="91" t="str">
        <f>IF(LOOKUP(M60,PPTO!$J$8:J$269,PPTO!B$8:B$269)=0," ",LOOKUP(M60,PPTO!$J$8:J$269,PPTO!B$8:B$269))</f>
        <v xml:space="preserve"> </v>
      </c>
      <c r="C60" s="89" t="str">
        <f>IF(LOOKUP(M60,PPTO!$J$8:$J$269,PPTO!D$8:D$269)=0," ",LOOKUP(M60,PPTO!$J$8:$J$269,PPTO!D$8:D$269))</f>
        <v>M2</v>
      </c>
      <c r="D60" s="90" t="str">
        <f>IF(LOOKUP(M60,PPTO!$J$8:$J$269,PPTO!E$8:E$269)=0," ",LOOKUP(M60,PPTO!$J$8:$J$269,PPTO!E$8:E$269))</f>
        <v xml:space="preserve"> </v>
      </c>
      <c r="E60" s="90" t="str">
        <f>IF(LOOKUP(M60,PPTO!$J$8:$J$269,PPTO!F$8:F$269)=0," ",LOOKUP(M60,PPTO!$J$8:$J$269,PPTO!F$8:F$269))</f>
        <v xml:space="preserve"> </v>
      </c>
      <c r="F60" s="90" t="str">
        <f>IF(LOOKUP(M60,PPTO!$J$8:$J$269,PPTO!H$8:H$269)=0," ",LOOKUP(M60,PPTO!$J$8:$J$269,PPTO!H$8:H$269))</f>
        <v xml:space="preserve"> </v>
      </c>
      <c r="G60" s="102" t="str">
        <f>IF(DATOS!$E$136&gt;0,'ACTA MODIFICACIÓN No.1'!M61,'ACTA PARCIAL No.1'!D60)</f>
        <v xml:space="preserve"> </v>
      </c>
      <c r="H60" s="102" t="e">
        <f t="shared" si="1"/>
        <v>#VALUE!</v>
      </c>
      <c r="I60" s="174">
        <v>123</v>
      </c>
      <c r="J60" s="102" t="e">
        <f t="shared" si="2"/>
        <v>#VALUE!</v>
      </c>
      <c r="K60" s="102">
        <f t="shared" si="3"/>
        <v>123</v>
      </c>
      <c r="L60" s="102" t="e">
        <f t="shared" si="4"/>
        <v>#VALUE!</v>
      </c>
      <c r="M60" s="108">
        <f t="shared" si="0"/>
        <v>44</v>
      </c>
    </row>
    <row r="61" spans="1:13">
      <c r="A61" s="87"/>
      <c r="B61" s="210"/>
      <c r="C61" s="155"/>
      <c r="D61" s="156"/>
      <c r="E61" s="156"/>
      <c r="F61" s="156"/>
      <c r="G61" s="161"/>
      <c r="H61" s="161"/>
      <c r="I61" s="174"/>
      <c r="J61" s="102"/>
      <c r="K61" s="102"/>
      <c r="L61" s="102"/>
      <c r="M61" s="108"/>
    </row>
    <row r="62" spans="1:13">
      <c r="A62" s="87"/>
      <c r="B62" s="275" t="s">
        <v>348</v>
      </c>
      <c r="C62" s="276"/>
      <c r="D62" s="277"/>
      <c r="E62" s="277"/>
      <c r="F62" s="277">
        <v>0</v>
      </c>
      <c r="G62" s="278"/>
      <c r="H62" s="278">
        <v>0</v>
      </c>
      <c r="I62" s="279"/>
      <c r="J62" s="279">
        <v>0</v>
      </c>
      <c r="K62" s="279"/>
      <c r="L62" s="279">
        <v>0</v>
      </c>
      <c r="M62" s="108"/>
    </row>
    <row r="63" spans="1:13" ht="12.75" thickBot="1">
      <c r="A63" s="87"/>
      <c r="B63" s="154"/>
      <c r="C63" s="155"/>
      <c r="D63" s="156"/>
      <c r="E63" s="156"/>
      <c r="F63" s="156"/>
      <c r="G63" s="161"/>
      <c r="H63" s="161"/>
      <c r="I63" s="102"/>
      <c r="J63" s="102"/>
      <c r="K63" s="102"/>
      <c r="L63" s="102"/>
      <c r="M63" s="108"/>
    </row>
    <row r="64" spans="1:13" ht="12.75" thickBot="1">
      <c r="A64" s="87"/>
      <c r="B64" s="280" t="s">
        <v>323</v>
      </c>
      <c r="C64" s="281"/>
      <c r="D64" s="282"/>
      <c r="E64" s="282"/>
      <c r="F64" s="283">
        <f>SUM(F19:F63)</f>
        <v>0</v>
      </c>
      <c r="G64" s="284"/>
      <c r="H64" s="283" t="e">
        <f>SUM(H19:H63)</f>
        <v>#VALUE!</v>
      </c>
      <c r="I64" s="284"/>
      <c r="J64" s="283" t="e">
        <f>SUM(J19:J63)</f>
        <v>#VALUE!</v>
      </c>
      <c r="K64" s="284"/>
      <c r="L64" s="283" t="e">
        <f>SUM(L19:L63)</f>
        <v>#VALUE!</v>
      </c>
      <c r="M64" s="108"/>
    </row>
    <row r="65" spans="1:13">
      <c r="A65" s="87"/>
      <c r="B65" s="285" t="s">
        <v>174</v>
      </c>
      <c r="C65" s="286" t="s">
        <v>296</v>
      </c>
      <c r="D65" s="287">
        <f>DATOS!E184</f>
        <v>18.5</v>
      </c>
      <c r="E65" s="288"/>
      <c r="F65" s="288">
        <f>ROUND(F$64*$D$65/100,0)</f>
        <v>0</v>
      </c>
      <c r="G65" s="289"/>
      <c r="H65" s="288" t="e">
        <f>ROUND(H$64*$D$65/100,0)</f>
        <v>#VALUE!</v>
      </c>
      <c r="I65" s="289"/>
      <c r="J65" s="288" t="e">
        <f>ROUND(J$64*$D$65/100,0)</f>
        <v>#VALUE!</v>
      </c>
      <c r="K65" s="289"/>
      <c r="L65" s="288" t="e">
        <f>ROUND(L$64*$D$65/100,0)</f>
        <v>#VALUE!</v>
      </c>
      <c r="M65" s="108"/>
    </row>
    <row r="66" spans="1:13">
      <c r="A66" s="87"/>
      <c r="B66" s="290" t="s">
        <v>166</v>
      </c>
      <c r="C66" s="291" t="s">
        <v>296</v>
      </c>
      <c r="D66" s="292">
        <f>DATOS!E186</f>
        <v>5</v>
      </c>
      <c r="E66" s="293"/>
      <c r="F66" s="288">
        <f>ROUND(F$64*$D$66/100,0)</f>
        <v>0</v>
      </c>
      <c r="G66" s="279"/>
      <c r="H66" s="288" t="e">
        <f>ROUND(H$64*$D$66/100,0)</f>
        <v>#VALUE!</v>
      </c>
      <c r="I66" s="279"/>
      <c r="J66" s="288" t="e">
        <f>ROUND(J$64*$D$66/100,0)</f>
        <v>#VALUE!</v>
      </c>
      <c r="K66" s="279"/>
      <c r="L66" s="288" t="e">
        <f>ROUND(L$64*$D$66/100,0)</f>
        <v>#VALUE!</v>
      </c>
      <c r="M66" s="108"/>
    </row>
    <row r="67" spans="1:13" ht="12.75" thickBot="1">
      <c r="A67" s="87"/>
      <c r="B67" s="294" t="s">
        <v>167</v>
      </c>
      <c r="C67" s="295" t="s">
        <v>296</v>
      </c>
      <c r="D67" s="292">
        <f>DATOS!E188</f>
        <v>8</v>
      </c>
      <c r="E67" s="293"/>
      <c r="F67" s="288">
        <f>ROUND(F$64*$D$67/100,0)</f>
        <v>0</v>
      </c>
      <c r="G67" s="279"/>
      <c r="H67" s="288" t="e">
        <f>ROUND(H$64*$D$67/100,0)</f>
        <v>#VALUE!</v>
      </c>
      <c r="I67" s="279"/>
      <c r="J67" s="288" t="e">
        <f>ROUND(J$64*$D$67/100,0)</f>
        <v>#VALUE!</v>
      </c>
      <c r="K67" s="279"/>
      <c r="L67" s="288" t="e">
        <f>ROUND(L$64*$D$67/100,0)</f>
        <v>#VALUE!</v>
      </c>
      <c r="M67" s="108"/>
    </row>
    <row r="68" spans="1:13" ht="12.75" thickBot="1">
      <c r="A68" s="87"/>
      <c r="B68" s="280" t="s">
        <v>324</v>
      </c>
      <c r="C68" s="281"/>
      <c r="D68" s="282"/>
      <c r="E68" s="282"/>
      <c r="F68" s="283">
        <f>SUM(F65:F67)</f>
        <v>0</v>
      </c>
      <c r="G68" s="284"/>
      <c r="H68" s="283" t="e">
        <f>SUM(H65:H67)</f>
        <v>#VALUE!</v>
      </c>
      <c r="I68" s="284"/>
      <c r="J68" s="283" t="e">
        <f>SUM(J65:J67)</f>
        <v>#VALUE!</v>
      </c>
      <c r="K68" s="284"/>
      <c r="L68" s="283" t="e">
        <f>SUM(L65:L67)</f>
        <v>#VALUE!</v>
      </c>
      <c r="M68" s="108"/>
    </row>
    <row r="69" spans="1:13" ht="12.75" thickBot="1">
      <c r="A69" s="87"/>
      <c r="B69" s="1150"/>
      <c r="C69" s="1150"/>
      <c r="D69" s="293"/>
      <c r="E69" s="293"/>
      <c r="F69" s="293"/>
      <c r="G69" s="279"/>
      <c r="H69" s="293"/>
      <c r="I69" s="279"/>
      <c r="J69" s="293"/>
      <c r="K69" s="279"/>
      <c r="L69" s="293"/>
      <c r="M69" s="108"/>
    </row>
    <row r="70" spans="1:13" ht="12.75" thickBot="1">
      <c r="A70" s="87"/>
      <c r="B70" s="280" t="s">
        <v>325</v>
      </c>
      <c r="C70" s="281"/>
      <c r="D70" s="282"/>
      <c r="E70" s="282"/>
      <c r="F70" s="283">
        <f>F64+F68</f>
        <v>0</v>
      </c>
      <c r="G70" s="284"/>
      <c r="H70" s="283" t="e">
        <f>H64+H68</f>
        <v>#VALUE!</v>
      </c>
      <c r="I70" s="284"/>
      <c r="J70" s="283" t="e">
        <f>J64+J68</f>
        <v>#VALUE!</v>
      </c>
      <c r="K70" s="284"/>
      <c r="L70" s="283" t="e">
        <f>L64+L68</f>
        <v>#VALUE!</v>
      </c>
      <c r="M70" s="108"/>
    </row>
    <row r="71" spans="1:13">
      <c r="A71" s="87" t="str">
        <f>IF(LOOKUP(M71,PPTO!$J$8:$J$269,PPTO!A$8:A$269)=0," ",LOOKUP(M71,PPTO!$J$8:$J$269,PPTO!A$8:A$269))</f>
        <v xml:space="preserve"> </v>
      </c>
      <c r="B71" s="88" t="str">
        <f>IF(LOOKUP(M71,PPTO!$J$8:J$269,PPTO!B$8:B$269)=0," ",LOOKUP(M71,PPTO!$J$8:J$269,PPTO!B$8:B$269))</f>
        <v xml:space="preserve"> </v>
      </c>
      <c r="C71" s="89" t="str">
        <f>IF(LOOKUP(M71,PPTO!$J$8:$J$269,PPTO!D$8:D$269)=0," ",LOOKUP(M71,PPTO!$J$8:$J$269,PPTO!D$8:D$269))</f>
        <v xml:space="preserve"> </v>
      </c>
      <c r="D71" s="90" t="str">
        <f>IF(LOOKUP(M71,PPTO!$J$8:$J$269,PPTO!E$8:E$269)=0," ",LOOKUP(M71,PPTO!$J$8:$J$269,PPTO!E$8:E$269))</f>
        <v xml:space="preserve"> </v>
      </c>
      <c r="E71" s="90" t="str">
        <f>IF(LOOKUP(M71,PPTO!$J$8:$J$269,PPTO!F$8:F$269)=0," ",LOOKUP(M71,PPTO!$J$8:$J$269,PPTO!F$8:F$269))</f>
        <v xml:space="preserve"> </v>
      </c>
      <c r="F71" s="97" t="str">
        <f>IF(LOOKUP(M71,PPTO!$J$8:$J$269,PPTO!H$8:H$269)=0," ",LOOKUP(M71,PPTO!$J$8:$J$269,PPTO!H$8:H$269))</f>
        <v xml:space="preserve"> </v>
      </c>
      <c r="G71" s="102"/>
      <c r="H71" s="102"/>
      <c r="I71" s="102"/>
      <c r="J71" s="102"/>
      <c r="K71" s="102"/>
      <c r="L71" s="102"/>
      <c r="M71" s="108">
        <v>45</v>
      </c>
    </row>
    <row r="72" spans="1:13">
      <c r="A72" s="87">
        <f>IF(LOOKUP(M72,PPTO!$J$8:$J$269,PPTO!A$8:A$269)=0," ",LOOKUP(M72,PPTO!$J$8:$J$269,PPTO!A$8:A$269))</f>
        <v>7</v>
      </c>
      <c r="B72" s="88" t="str">
        <f>IF(LOOKUP(M72,PPTO!$J$8:J$269,PPTO!B$8:B$269)=0," ",LOOKUP(M72,PPTO!$J$8:J$269,PPTO!B$8:B$269))</f>
        <v>SUMINISTRO DE TUBERIA</v>
      </c>
      <c r="C72" s="89" t="str">
        <f>IF(LOOKUP(M72,PPTO!$J$8:$J$269,PPTO!D$8:D$269)=0," ",LOOKUP(M72,PPTO!$J$8:$J$269,PPTO!D$8:D$269))</f>
        <v xml:space="preserve"> </v>
      </c>
      <c r="D72" s="90" t="str">
        <f>IF(LOOKUP(M72,PPTO!$J$8:$J$269,PPTO!E$8:E$269)=0," ",LOOKUP(M72,PPTO!$J$8:$J$269,PPTO!E$8:E$269))</f>
        <v xml:space="preserve"> </v>
      </c>
      <c r="E72" s="90" t="str">
        <f>IF(LOOKUP(M72,PPTO!$J$8:$J$269,PPTO!F$8:F$269)=0," ",LOOKUP(M72,PPTO!$J$8:$J$269,PPTO!F$8:F$269))</f>
        <v xml:space="preserve"> </v>
      </c>
      <c r="F72" s="97" t="str">
        <f>IF(LOOKUP(M72,PPTO!$J$8:$J$269,PPTO!H$8:H$269)=0," ",LOOKUP(M72,PPTO!$J$8:$J$269,PPTO!H$8:H$269))</f>
        <v xml:space="preserve"> </v>
      </c>
      <c r="G72" s="102"/>
      <c r="H72" s="102"/>
      <c r="I72" s="102"/>
      <c r="J72" s="102"/>
      <c r="K72" s="102"/>
      <c r="L72" s="102"/>
      <c r="M72" s="108">
        <v>46</v>
      </c>
    </row>
    <row r="73" spans="1:13" ht="24">
      <c r="A73" s="87" t="str">
        <f>IF(LOOKUP(M73,PPTO!$J$8:$J$269,PPTO!A$8:A$269)=0," ",LOOKUP(M73,PPTO!$J$8:$J$269,PPTO!A$8:A$269))</f>
        <v>7.01</v>
      </c>
      <c r="B73" s="91" t="str">
        <f>IF(LOOKUP(M73,PPTO!$J$8:J$269,PPTO!B$8:B$269)=0," ",LOOKUP(M73,PPTO!$J$8:J$269,PPTO!B$8:B$269))</f>
        <v>SUM DE TUBERIA PVC UNION MECANICA PARA ALCANTARILLADOS 6", 160 MM</v>
      </c>
      <c r="C73" s="145" t="str">
        <f>IF(LOOKUP(M73,PPTO!$J$8:$J$269,PPTO!D$8:D$269)=0," ",LOOKUP(M73,PPTO!$J$8:$J$269,PPTO!D$8:D$269))</f>
        <v>ML</v>
      </c>
      <c r="D73" s="90" t="str">
        <f>IF(LOOKUP(M73,PPTO!$J$8:$J$269,PPTO!E$8:E$269)=0," ",LOOKUP(M73,PPTO!$J$8:$J$269,PPTO!E$8:E$269))</f>
        <v xml:space="preserve"> </v>
      </c>
      <c r="E73" s="90" t="str">
        <f>IF(LOOKUP(M73,PPTO!$J$8:$J$269,PPTO!F$8:F$269)=0," ",LOOKUP(M73,PPTO!$J$8:$J$269,PPTO!F$8:F$269))</f>
        <v xml:space="preserve"> </v>
      </c>
      <c r="F73" s="90" t="str">
        <f>IF(LOOKUP(M73,PPTO!$J$8:$J$269,PPTO!H$8:H$269)=0," ",LOOKUP(M73,PPTO!$J$8:$J$269,PPTO!H$8:H$269))</f>
        <v xml:space="preserve"> </v>
      </c>
      <c r="G73" s="102" t="str">
        <f>IF(DATOS!$E$136&gt;0,'ACTA MODIFICACIÓN No.1'!M74,'ACTA PARCIAL No.1'!D73)</f>
        <v xml:space="preserve"> </v>
      </c>
      <c r="H73" s="102" t="e">
        <f>ROUND(G73*E73,0)</f>
        <v>#VALUE!</v>
      </c>
      <c r="I73" s="174">
        <v>7554</v>
      </c>
      <c r="J73" s="102" t="e">
        <f>ROUND(I73*E73,0)</f>
        <v>#VALUE!</v>
      </c>
      <c r="K73" s="102">
        <f t="shared" ref="K73" si="5">I73</f>
        <v>7554</v>
      </c>
      <c r="L73" s="102" t="e">
        <f t="shared" ref="L73" si="6">ROUND(K73*E73,0)</f>
        <v>#VALUE!</v>
      </c>
      <c r="M73" s="108">
        <f t="shared" si="0"/>
        <v>47</v>
      </c>
    </row>
    <row r="74" spans="1:13">
      <c r="A74" s="87" t="str">
        <f>IF(LOOKUP(M74,PPTO!$J$8:$J$269,PPTO!A$8:A$269)=0," ",LOOKUP(M74,PPTO!$J$8:$J$269,PPTO!A$8:A$269))</f>
        <v>7.02</v>
      </c>
      <c r="B74" s="91" t="str">
        <f>IF(LOOKUP(M74,PPTO!$J$8:J$269,PPTO!B$8:B$269)=0," ",LOOKUP(M74,PPTO!$J$8:J$269,PPTO!B$8:B$269))</f>
        <v>SUM TUB PVC 8" ALC</v>
      </c>
      <c r="C74" s="145" t="str">
        <f>IF(LOOKUP(M74,PPTO!$J$8:$J$269,PPTO!D$8:D$269)=0," ",LOOKUP(M74,PPTO!$J$8:$J$269,PPTO!D$8:D$269))</f>
        <v>ML</v>
      </c>
      <c r="D74" s="90" t="str">
        <f>IF(LOOKUP(M74,PPTO!$J$8:$J$269,PPTO!E$8:E$269)=0," ",LOOKUP(M74,PPTO!$J$8:$J$269,PPTO!E$8:E$269))</f>
        <v xml:space="preserve"> </v>
      </c>
      <c r="E74" s="90" t="str">
        <f>IF(LOOKUP(M74,PPTO!$J$8:$J$269,PPTO!F$8:F$269)=0," ",LOOKUP(M74,PPTO!$J$8:$J$269,PPTO!F$8:F$269))</f>
        <v xml:space="preserve"> </v>
      </c>
      <c r="F74" s="90" t="str">
        <f>IF(LOOKUP(M74,PPTO!$J$8:$J$269,PPTO!H$8:H$269)=0," ",LOOKUP(M74,PPTO!$J$8:$J$269,PPTO!H$8:H$269))</f>
        <v xml:space="preserve"> </v>
      </c>
      <c r="G74" s="102" t="str">
        <f>IF(DATOS!$E$136&gt;0,'ACTA MODIFICACIÓN No.1'!M75,'ACTA PARCIAL No.1'!D74)</f>
        <v xml:space="preserve"> </v>
      </c>
      <c r="H74" s="102" t="e">
        <f t="shared" ref="H74:H77" si="7">ROUND(G74*E74,0)</f>
        <v>#VALUE!</v>
      </c>
      <c r="I74" s="174">
        <v>10000</v>
      </c>
      <c r="J74" s="102" t="e">
        <f t="shared" ref="J74:J77" si="8">ROUND(I74*E74,0)</f>
        <v>#VALUE!</v>
      </c>
      <c r="K74" s="102">
        <f t="shared" ref="K74" si="9">I74</f>
        <v>10000</v>
      </c>
      <c r="L74" s="102" t="e">
        <f t="shared" ref="L74" si="10">ROUND(K74*E74,0)</f>
        <v>#VALUE!</v>
      </c>
      <c r="M74" s="108">
        <f t="shared" si="0"/>
        <v>48</v>
      </c>
    </row>
    <row r="75" spans="1:13">
      <c r="A75" s="87" t="str">
        <f>IF(LOOKUP(M75,PPTO!$J$8:$J$269,PPTO!A$8:A$269)=0," ",LOOKUP(M75,PPTO!$J$8:$J$269,PPTO!A$8:A$269))</f>
        <v>7.03</v>
      </c>
      <c r="B75" s="91" t="str">
        <f>IF(LOOKUP(M75,PPTO!$J$8:J$269,PPTO!B$8:B$269)=0," ",LOOKUP(M75,PPTO!$J$8:J$269,PPTO!B$8:B$269))</f>
        <v>SUM TUB PVC 10" ALC</v>
      </c>
      <c r="C75" s="145" t="str">
        <f>IF(LOOKUP(M75,PPTO!$J$8:$J$269,PPTO!D$8:D$269)=0," ",LOOKUP(M75,PPTO!$J$8:$J$269,PPTO!D$8:D$269))</f>
        <v>ML</v>
      </c>
      <c r="D75" s="90" t="str">
        <f>IF(LOOKUP(M75,PPTO!$J$8:$J$269,PPTO!E$8:E$269)=0," ",LOOKUP(M75,PPTO!$J$8:$J$269,PPTO!E$8:E$269))</f>
        <v xml:space="preserve"> </v>
      </c>
      <c r="E75" s="90" t="str">
        <f>IF(LOOKUP(M75,PPTO!$J$8:$J$269,PPTO!F$8:F$269)=0," ",LOOKUP(M75,PPTO!$J$8:$J$269,PPTO!F$8:F$269))</f>
        <v xml:space="preserve"> </v>
      </c>
      <c r="F75" s="90" t="str">
        <f>IF(LOOKUP(M75,PPTO!$J$8:$J$269,PPTO!H$8:H$269)=0," ",LOOKUP(M75,PPTO!$J$8:$J$269,PPTO!H$8:H$269))</f>
        <v xml:space="preserve"> </v>
      </c>
      <c r="G75" s="102" t="str">
        <f>IF(DATOS!$E$136&gt;0,'ACTA MODIFICACIÓN No.1'!M76,'ACTA PARCIAL No.1'!D75)</f>
        <v xml:space="preserve"> </v>
      </c>
      <c r="H75" s="102" t="e">
        <f t="shared" si="7"/>
        <v>#VALUE!</v>
      </c>
      <c r="I75" s="174">
        <v>111</v>
      </c>
      <c r="J75" s="102" t="e">
        <f t="shared" si="8"/>
        <v>#VALUE!</v>
      </c>
      <c r="K75" s="102">
        <f t="shared" ref="K75:K77" si="11">I75</f>
        <v>111</v>
      </c>
      <c r="L75" s="102" t="e">
        <f t="shared" ref="L75:L77" si="12">ROUND(K75*E75,0)</f>
        <v>#VALUE!</v>
      </c>
      <c r="M75" s="108">
        <f t="shared" si="0"/>
        <v>49</v>
      </c>
    </row>
    <row r="76" spans="1:13">
      <c r="A76" s="87" t="str">
        <f>IF(LOOKUP(M76,PPTO!$J$8:$J$269,PPTO!A$8:A$269)=0," ",LOOKUP(M76,PPTO!$J$8:$J$269,PPTO!A$8:A$269))</f>
        <v>7.04</v>
      </c>
      <c r="B76" s="91" t="str">
        <f>IF(LOOKUP(M76,PPTO!$J$8:J$269,PPTO!B$8:B$269)=0," ",LOOKUP(M76,PPTO!$J$8:J$269,PPTO!B$8:B$269))</f>
        <v>SUM TUB PVC 12" ALC</v>
      </c>
      <c r="C76" s="89" t="str">
        <f>IF(LOOKUP(M76,PPTO!$J$8:$J$269,PPTO!D$8:D$269)=0," ",LOOKUP(M76,PPTO!$J$8:$J$269,PPTO!D$8:D$269))</f>
        <v>ML</v>
      </c>
      <c r="D76" s="90" t="str">
        <f>IF(LOOKUP(M76,PPTO!$J$8:$J$269,PPTO!E$8:E$269)=0," ",LOOKUP(M76,PPTO!$J$8:$J$269,PPTO!E$8:E$269))</f>
        <v xml:space="preserve"> </v>
      </c>
      <c r="E76" s="90" t="str">
        <f>IF(LOOKUP(M76,PPTO!$J$8:$J$269,PPTO!F$8:F$269)=0," ",LOOKUP(M76,PPTO!$J$8:$J$269,PPTO!F$8:F$269))</f>
        <v xml:space="preserve"> </v>
      </c>
      <c r="F76" s="90" t="str">
        <f>IF(LOOKUP(M76,PPTO!$J$8:$J$269,PPTO!H$8:H$269)=0," ",LOOKUP(M76,PPTO!$J$8:$J$269,PPTO!H$8:H$269))</f>
        <v xml:space="preserve"> </v>
      </c>
      <c r="G76" s="102" t="str">
        <f>IF(DATOS!$E$136&gt;0,'ACTA MODIFICACIÓN No.1'!M77,'ACTA PARCIAL No.1'!D76)</f>
        <v xml:space="preserve"> </v>
      </c>
      <c r="H76" s="102" t="e">
        <f t="shared" si="7"/>
        <v>#VALUE!</v>
      </c>
      <c r="I76" s="174">
        <v>293.73</v>
      </c>
      <c r="J76" s="102" t="e">
        <f t="shared" si="8"/>
        <v>#VALUE!</v>
      </c>
      <c r="K76" s="102">
        <f t="shared" si="11"/>
        <v>293.73</v>
      </c>
      <c r="L76" s="102" t="e">
        <f t="shared" si="12"/>
        <v>#VALUE!</v>
      </c>
      <c r="M76" s="108">
        <f t="shared" si="0"/>
        <v>50</v>
      </c>
    </row>
    <row r="77" spans="1:13">
      <c r="A77" s="87" t="str">
        <f>IF(LOOKUP(M77,PPTO!$J$8:$J$269,PPTO!A$8:A$269)=0," ",LOOKUP(M77,PPTO!$J$8:$J$269,PPTO!A$8:A$269))</f>
        <v>7.05</v>
      </c>
      <c r="B77" s="91" t="str">
        <f>IF(LOOKUP(M77,PPTO!$J$8:J$269,PPTO!B$8:B$269)=0," ",LOOKUP(M77,PPTO!$J$8:J$269,PPTO!B$8:B$269))</f>
        <v>SUMINISTRO TUB PVC NOVAFORT 14 "</v>
      </c>
      <c r="C77" s="89" t="str">
        <f>IF(LOOKUP(M77,PPTO!$J$8:$J$269,PPTO!D$8:D$269)=0," ",LOOKUP(M77,PPTO!$J$8:$J$269,PPTO!D$8:D$269))</f>
        <v>ML</v>
      </c>
      <c r="D77" s="90" t="str">
        <f>IF(LOOKUP(M77,PPTO!$J$8:$J$269,PPTO!E$8:E$269)=0," ",LOOKUP(M77,PPTO!$J$8:$J$269,PPTO!E$8:E$269))</f>
        <v xml:space="preserve"> </v>
      </c>
      <c r="E77" s="90" t="str">
        <f>IF(LOOKUP(M77,PPTO!$J$8:$J$269,PPTO!F$8:F$269)=0," ",LOOKUP(M77,PPTO!$J$8:$J$269,PPTO!F$8:F$269))</f>
        <v xml:space="preserve"> </v>
      </c>
      <c r="F77" s="90" t="str">
        <f>IF(LOOKUP(M77,PPTO!$J$8:$J$269,PPTO!H$8:H$269)=0," ",LOOKUP(M77,PPTO!$J$8:$J$269,PPTO!H$8:H$269))</f>
        <v xml:space="preserve"> </v>
      </c>
      <c r="G77" s="102" t="str">
        <f>IF(DATOS!$E$136&gt;0,'ACTA MODIFICACIÓN No.1'!M78,'ACTA PARCIAL No.1'!D77)</f>
        <v xml:space="preserve"> </v>
      </c>
      <c r="H77" s="102" t="e">
        <f t="shared" si="7"/>
        <v>#VALUE!</v>
      </c>
      <c r="I77" s="174">
        <v>900</v>
      </c>
      <c r="J77" s="102" t="e">
        <f t="shared" si="8"/>
        <v>#VALUE!</v>
      </c>
      <c r="K77" s="102">
        <f t="shared" si="11"/>
        <v>900</v>
      </c>
      <c r="L77" s="102" t="e">
        <f t="shared" si="12"/>
        <v>#VALUE!</v>
      </c>
      <c r="M77" s="108">
        <f t="shared" si="0"/>
        <v>51</v>
      </c>
    </row>
    <row r="78" spans="1:13">
      <c r="A78" s="87"/>
      <c r="B78" s="88"/>
      <c r="C78" s="89"/>
      <c r="D78" s="90"/>
      <c r="E78" s="90"/>
      <c r="F78" s="97"/>
      <c r="G78" s="161"/>
      <c r="H78" s="177"/>
      <c r="I78" s="174"/>
      <c r="J78" s="148"/>
      <c r="K78" s="102"/>
      <c r="L78" s="148"/>
      <c r="M78" s="108"/>
    </row>
    <row r="79" spans="1:13">
      <c r="A79" s="87"/>
      <c r="B79" s="275" t="s">
        <v>348</v>
      </c>
      <c r="C79" s="276"/>
      <c r="D79" s="277"/>
      <c r="E79" s="277"/>
      <c r="F79" s="277">
        <v>0</v>
      </c>
      <c r="G79" s="278"/>
      <c r="H79" s="278">
        <v>0</v>
      </c>
      <c r="I79" s="279"/>
      <c r="J79" s="279">
        <v>0</v>
      </c>
      <c r="K79" s="279"/>
      <c r="L79" s="279">
        <v>0</v>
      </c>
      <c r="M79" s="108"/>
    </row>
    <row r="80" spans="1:13" ht="12.75" thickBot="1">
      <c r="A80" s="87"/>
      <c r="B80" s="296"/>
      <c r="C80" s="297"/>
      <c r="D80" s="298"/>
      <c r="E80" s="298"/>
      <c r="F80" s="299"/>
      <c r="G80" s="300"/>
      <c r="H80" s="301"/>
      <c r="I80" s="300"/>
      <c r="J80" s="301"/>
      <c r="K80" s="300"/>
      <c r="L80" s="301"/>
      <c r="M80" s="108"/>
    </row>
    <row r="81" spans="1:13" ht="12.75" thickBot="1">
      <c r="A81" s="92"/>
      <c r="B81" s="280" t="s">
        <v>326</v>
      </c>
      <c r="C81" s="281"/>
      <c r="D81" s="282"/>
      <c r="E81" s="282"/>
      <c r="F81" s="283">
        <f>SUM(F73:F80)</f>
        <v>0</v>
      </c>
      <c r="G81" s="284"/>
      <c r="H81" s="283" t="e">
        <f>SUM(H73:H80)</f>
        <v>#VALUE!</v>
      </c>
      <c r="I81" s="284"/>
      <c r="J81" s="283" t="e">
        <f>SUM(J73:J80)</f>
        <v>#VALUE!</v>
      </c>
      <c r="K81" s="284"/>
      <c r="L81" s="283" t="e">
        <f>SUM(L73:L80)</f>
        <v>#VALUE!</v>
      </c>
      <c r="M81" s="108"/>
    </row>
    <row r="82" spans="1:13" ht="12.75" thickBot="1">
      <c r="A82" s="87"/>
      <c r="B82" s="285" t="s">
        <v>174</v>
      </c>
      <c r="C82" s="286" t="s">
        <v>296</v>
      </c>
      <c r="D82" s="287">
        <f>DATOS!E192</f>
        <v>18.5</v>
      </c>
      <c r="E82" s="288"/>
      <c r="F82" s="288">
        <f>ROUND(F$81*$D$82/100,0)</f>
        <v>0</v>
      </c>
      <c r="G82" s="289"/>
      <c r="H82" s="288" t="e">
        <f>ROUND(H$81*$D$82/100,0)</f>
        <v>#VALUE!</v>
      </c>
      <c r="I82" s="289"/>
      <c r="J82" s="288" t="e">
        <f>ROUND(J$81*$D$82/100,0)</f>
        <v>#VALUE!</v>
      </c>
      <c r="K82" s="289"/>
      <c r="L82" s="288" t="e">
        <f>ROUND(L$81*$D$82/100,0)</f>
        <v>#VALUE!</v>
      </c>
      <c r="M82" s="108"/>
    </row>
    <row r="83" spans="1:13" ht="12.75" thickBot="1">
      <c r="A83" s="87"/>
      <c r="B83" s="280" t="s">
        <v>327</v>
      </c>
      <c r="C83" s="281"/>
      <c r="D83" s="282"/>
      <c r="E83" s="282"/>
      <c r="F83" s="283">
        <f>F82</f>
        <v>0</v>
      </c>
      <c r="G83" s="284"/>
      <c r="H83" s="283" t="e">
        <f>H82</f>
        <v>#VALUE!</v>
      </c>
      <c r="I83" s="284"/>
      <c r="J83" s="283" t="e">
        <f>J82</f>
        <v>#VALUE!</v>
      </c>
      <c r="K83" s="284"/>
      <c r="L83" s="283" t="e">
        <f>L82</f>
        <v>#VALUE!</v>
      </c>
      <c r="M83" s="108"/>
    </row>
    <row r="84" spans="1:13" ht="12.75" thickBot="1">
      <c r="A84" s="87"/>
      <c r="B84" s="1150"/>
      <c r="C84" s="1150"/>
      <c r="D84" s="293"/>
      <c r="E84" s="293"/>
      <c r="F84" s="293"/>
      <c r="G84" s="279"/>
      <c r="H84" s="293"/>
      <c r="I84" s="279"/>
      <c r="J84" s="293"/>
      <c r="K84" s="279"/>
      <c r="L84" s="293"/>
      <c r="M84" s="108"/>
    </row>
    <row r="85" spans="1:13" ht="12.75" thickBot="1">
      <c r="A85" s="87"/>
      <c r="B85" s="280" t="s">
        <v>328</v>
      </c>
      <c r="C85" s="281"/>
      <c r="D85" s="282"/>
      <c r="E85" s="282"/>
      <c r="F85" s="283">
        <f>F81+F83</f>
        <v>0</v>
      </c>
      <c r="G85" s="284"/>
      <c r="H85" s="283" t="e">
        <f>H81+H83</f>
        <v>#VALUE!</v>
      </c>
      <c r="I85" s="284"/>
      <c r="J85" s="283" t="e">
        <f>J81+J83</f>
        <v>#VALUE!</v>
      </c>
      <c r="K85" s="284"/>
      <c r="L85" s="283" t="e">
        <f>L81+L83</f>
        <v>#VALUE!</v>
      </c>
      <c r="M85" s="108"/>
    </row>
    <row r="86" spans="1:13" ht="12.75" thickBot="1">
      <c r="A86" s="87"/>
      <c r="B86" s="1151"/>
      <c r="C86" s="1151"/>
      <c r="D86" s="293"/>
      <c r="E86" s="293"/>
      <c r="F86" s="293"/>
      <c r="G86" s="279"/>
      <c r="H86" s="293"/>
      <c r="I86" s="279"/>
      <c r="J86" s="293"/>
      <c r="K86" s="279"/>
      <c r="L86" s="293"/>
      <c r="M86" s="108"/>
    </row>
    <row r="87" spans="1:13" ht="12.75" thickBot="1">
      <c r="A87" s="87"/>
      <c r="B87" s="280" t="s">
        <v>325</v>
      </c>
      <c r="C87" s="281"/>
      <c r="D87" s="282"/>
      <c r="E87" s="282"/>
      <c r="F87" s="283">
        <f>F70</f>
        <v>0</v>
      </c>
      <c r="G87" s="284"/>
      <c r="H87" s="283" t="e">
        <f>H70</f>
        <v>#VALUE!</v>
      </c>
      <c r="I87" s="284"/>
      <c r="J87" s="283" t="e">
        <f>J70</f>
        <v>#VALUE!</v>
      </c>
      <c r="K87" s="284"/>
      <c r="L87" s="283" t="e">
        <f>L70</f>
        <v>#VALUE!</v>
      </c>
      <c r="M87" s="108"/>
    </row>
    <row r="88" spans="1:13" ht="12.75" thickBot="1">
      <c r="A88" s="87"/>
      <c r="B88" s="1151"/>
      <c r="C88" s="1151"/>
      <c r="D88" s="293"/>
      <c r="E88" s="293"/>
      <c r="F88" s="293"/>
      <c r="G88" s="279"/>
      <c r="H88" s="293"/>
      <c r="I88" s="279"/>
      <c r="J88" s="293"/>
      <c r="K88" s="279"/>
      <c r="L88" s="293"/>
      <c r="M88" s="108"/>
    </row>
    <row r="89" spans="1:13" ht="12.75" thickBot="1">
      <c r="A89" s="87"/>
      <c r="B89" s="280" t="s">
        <v>328</v>
      </c>
      <c r="C89" s="281"/>
      <c r="D89" s="282"/>
      <c r="E89" s="282"/>
      <c r="F89" s="283">
        <f>F85</f>
        <v>0</v>
      </c>
      <c r="G89" s="284"/>
      <c r="H89" s="283" t="e">
        <f>H85</f>
        <v>#VALUE!</v>
      </c>
      <c r="I89" s="284"/>
      <c r="J89" s="283" t="e">
        <f>J85</f>
        <v>#VALUE!</v>
      </c>
      <c r="K89" s="284"/>
      <c r="L89" s="283" t="e">
        <f>L85</f>
        <v>#VALUE!</v>
      </c>
      <c r="M89" s="108"/>
    </row>
    <row r="90" spans="1:13" ht="12.75" thickBot="1">
      <c r="A90" s="87"/>
      <c r="B90" s="976"/>
      <c r="C90" s="976"/>
      <c r="D90" s="144"/>
      <c r="E90" s="90"/>
      <c r="F90" s="90"/>
      <c r="G90" s="161"/>
      <c r="H90" s="156"/>
      <c r="I90" s="161"/>
      <c r="J90" s="156"/>
      <c r="K90" s="161"/>
      <c r="L90" s="156"/>
      <c r="M90" s="108"/>
    </row>
    <row r="91" spans="1:13" ht="12.75" thickBot="1">
      <c r="A91" s="87"/>
      <c r="B91" s="157" t="s">
        <v>117</v>
      </c>
      <c r="C91" s="158"/>
      <c r="D91" s="159"/>
      <c r="E91" s="159"/>
      <c r="F91" s="160">
        <f>F87+F89</f>
        <v>0</v>
      </c>
      <c r="G91" s="163"/>
      <c r="H91" s="164" t="e">
        <f>H87+H89</f>
        <v>#VALUE!</v>
      </c>
      <c r="I91" s="165"/>
      <c r="J91" s="166" t="e">
        <f>J87+J89</f>
        <v>#VALUE!</v>
      </c>
      <c r="K91" s="167"/>
      <c r="L91" s="168" t="e">
        <f>L87+L89</f>
        <v>#VALUE!</v>
      </c>
      <c r="M91" s="108"/>
    </row>
    <row r="92" spans="1:13">
      <c r="A92" s="87"/>
      <c r="B92" s="88"/>
      <c r="C92" s="89"/>
      <c r="D92" s="90"/>
      <c r="E92" s="90"/>
      <c r="F92" s="90"/>
      <c r="G92" s="162"/>
      <c r="H92" s="162"/>
      <c r="I92" s="102"/>
      <c r="K92" s="102"/>
      <c r="L92" s="102"/>
      <c r="M92" s="108"/>
    </row>
    <row r="93" spans="1:13">
      <c r="A93" s="87"/>
      <c r="B93" s="88"/>
      <c r="C93" s="89"/>
      <c r="D93" s="90"/>
      <c r="E93" s="90"/>
      <c r="F93" s="90"/>
      <c r="G93" s="102"/>
      <c r="H93" s="102"/>
      <c r="I93" s="102"/>
      <c r="J93" s="102"/>
      <c r="K93" s="102"/>
      <c r="L93" s="102"/>
      <c r="M93" s="108"/>
    </row>
    <row r="94" spans="1:13">
      <c r="A94" s="84"/>
      <c r="B94" s="93"/>
      <c r="C94" s="84"/>
      <c r="D94" s="86"/>
      <c r="E94" s="86"/>
      <c r="F94" s="86"/>
      <c r="G94" s="85"/>
      <c r="H94" s="85"/>
      <c r="I94" s="85"/>
      <c r="J94" s="85"/>
      <c r="K94" s="85"/>
      <c r="L94" s="85"/>
      <c r="M94" s="108"/>
    </row>
    <row r="95" spans="1:13">
      <c r="B95" s="111" t="s">
        <v>251</v>
      </c>
      <c r="C95" s="84"/>
      <c r="D95" s="86"/>
      <c r="E95" s="86"/>
      <c r="F95" s="86"/>
      <c r="G95" s="85"/>
      <c r="H95" s="111" t="s">
        <v>263</v>
      </c>
      <c r="I95" s="85"/>
      <c r="J95" s="85"/>
      <c r="K95" s="85"/>
      <c r="L95" s="85"/>
      <c r="M95" s="108"/>
    </row>
    <row r="96" spans="1:13">
      <c r="A96" s="84"/>
      <c r="B96" s="113" t="s">
        <v>252</v>
      </c>
      <c r="C96" s="121"/>
      <c r="D96" s="123" t="s">
        <v>259</v>
      </c>
      <c r="E96" s="112"/>
      <c r="F96" s="112">
        <f>F7</f>
        <v>0</v>
      </c>
      <c r="G96" s="85"/>
      <c r="H96" s="117" t="s">
        <v>13</v>
      </c>
      <c r="I96" s="118"/>
      <c r="J96" s="120" t="s">
        <v>259</v>
      </c>
      <c r="K96" s="112"/>
      <c r="L96" s="112">
        <f>DATOS!E48</f>
        <v>0</v>
      </c>
      <c r="M96" s="108"/>
    </row>
    <row r="97" spans="1:13">
      <c r="A97" s="84"/>
      <c r="B97" s="113" t="s">
        <v>257</v>
      </c>
      <c r="C97" s="121"/>
      <c r="D97" s="123" t="s">
        <v>259</v>
      </c>
      <c r="E97" s="112"/>
      <c r="F97" s="112">
        <f>F8</f>
        <v>30000000</v>
      </c>
      <c r="G97" s="85"/>
      <c r="H97" s="117" t="s">
        <v>260</v>
      </c>
      <c r="I97" s="118"/>
      <c r="J97" s="120" t="s">
        <v>259</v>
      </c>
      <c r="K97" s="112"/>
      <c r="L97" s="112">
        <v>0</v>
      </c>
      <c r="M97" s="108"/>
    </row>
    <row r="98" spans="1:13">
      <c r="A98" s="84"/>
      <c r="B98" s="113" t="s">
        <v>258</v>
      </c>
      <c r="C98" s="121"/>
      <c r="D98" s="123" t="s">
        <v>259</v>
      </c>
      <c r="E98" s="112"/>
      <c r="F98" s="112">
        <f>F9</f>
        <v>0</v>
      </c>
      <c r="G98" s="85"/>
      <c r="H98" s="117" t="s">
        <v>261</v>
      </c>
      <c r="I98" s="118"/>
      <c r="J98" s="120" t="s">
        <v>259</v>
      </c>
      <c r="K98" s="112"/>
      <c r="L98" s="112">
        <v>0</v>
      </c>
      <c r="M98" s="108"/>
    </row>
    <row r="99" spans="1:13">
      <c r="A99" s="84"/>
      <c r="B99" s="113" t="s">
        <v>253</v>
      </c>
      <c r="C99" s="121"/>
      <c r="D99" s="123" t="s">
        <v>259</v>
      </c>
      <c r="E99" s="112" t="e">
        <f>J91</f>
        <v>#VALUE!</v>
      </c>
      <c r="F99" s="112"/>
      <c r="G99" s="85"/>
      <c r="H99" s="117" t="s">
        <v>262</v>
      </c>
      <c r="I99" s="118"/>
      <c r="J99" s="120" t="s">
        <v>259</v>
      </c>
      <c r="K99" s="112" t="e">
        <f>ROUND(E99*DATOS!I48,0)</f>
        <v>#VALUE!</v>
      </c>
      <c r="L99" s="112"/>
      <c r="M99" s="108"/>
    </row>
    <row r="100" spans="1:13">
      <c r="A100" s="84"/>
      <c r="B100" s="113" t="s">
        <v>254</v>
      </c>
      <c r="C100" s="121"/>
      <c r="D100" s="123" t="s">
        <v>259</v>
      </c>
      <c r="E100" s="112" t="e">
        <f>F96+F97+F98-E99</f>
        <v>#VALUE!</v>
      </c>
      <c r="F100" s="112"/>
      <c r="G100" s="85"/>
      <c r="H100" s="117" t="s">
        <v>250</v>
      </c>
      <c r="I100" s="118"/>
      <c r="J100" s="120" t="s">
        <v>259</v>
      </c>
      <c r="K100" s="112" t="e">
        <f>L96+L97+L98-K99</f>
        <v>#VALUE!</v>
      </c>
      <c r="L100" s="112"/>
      <c r="M100" s="108"/>
    </row>
    <row r="101" spans="1:13">
      <c r="A101" s="84"/>
      <c r="B101" s="114" t="s">
        <v>255</v>
      </c>
      <c r="C101" s="121"/>
      <c r="D101" s="123" t="s">
        <v>259</v>
      </c>
      <c r="E101" s="112" t="e">
        <f>SUM(E96:E100)</f>
        <v>#VALUE!</v>
      </c>
      <c r="F101" s="112">
        <f>SUM(F96:F100)</f>
        <v>30000000</v>
      </c>
      <c r="G101" s="85"/>
      <c r="H101" s="119" t="s">
        <v>255</v>
      </c>
      <c r="I101" s="118"/>
      <c r="J101" s="120" t="s">
        <v>259</v>
      </c>
      <c r="K101" s="112" t="e">
        <f>SUM(K96:K100)</f>
        <v>#VALUE!</v>
      </c>
      <c r="L101" s="112">
        <f>SUM(L96:L100)</f>
        <v>0</v>
      </c>
      <c r="M101" s="108"/>
    </row>
    <row r="102" spans="1:13">
      <c r="A102" s="84"/>
      <c r="B102" s="93"/>
      <c r="C102" s="84"/>
      <c r="D102" s="86"/>
      <c r="E102" s="86"/>
      <c r="F102" s="86"/>
      <c r="G102" s="85"/>
      <c r="I102" s="85"/>
      <c r="J102" s="85"/>
      <c r="K102" s="85"/>
      <c r="L102" s="85"/>
      <c r="M102" s="108"/>
    </row>
    <row r="103" spans="1:13">
      <c r="A103" s="84"/>
      <c r="B103" s="113" t="s">
        <v>311</v>
      </c>
      <c r="C103" s="121"/>
      <c r="D103" s="122"/>
      <c r="E103" s="123" t="s">
        <v>259</v>
      </c>
      <c r="F103" s="112">
        <f>F96+F97+F98</f>
        <v>30000000</v>
      </c>
      <c r="G103" s="85"/>
      <c r="H103" s="117" t="s">
        <v>265</v>
      </c>
      <c r="I103" s="118"/>
      <c r="J103" s="126"/>
      <c r="K103" s="120" t="s">
        <v>259</v>
      </c>
      <c r="L103" s="112" t="e">
        <f>E99</f>
        <v>#VALUE!</v>
      </c>
      <c r="M103" s="108"/>
    </row>
    <row r="104" spans="1:13">
      <c r="A104" s="84"/>
      <c r="B104" s="113" t="s">
        <v>264</v>
      </c>
      <c r="C104" s="121"/>
      <c r="D104" s="122"/>
      <c r="E104" s="123" t="s">
        <v>259</v>
      </c>
      <c r="F104" s="112" t="e">
        <f>E99</f>
        <v>#VALUE!</v>
      </c>
      <c r="G104" s="85"/>
      <c r="H104" s="117" t="s">
        <v>266</v>
      </c>
      <c r="I104" s="118"/>
      <c r="J104" s="126"/>
      <c r="K104" s="120" t="s">
        <v>259</v>
      </c>
      <c r="L104" s="112" t="e">
        <f>K99</f>
        <v>#VALUE!</v>
      </c>
      <c r="M104" s="108"/>
    </row>
    <row r="105" spans="1:13">
      <c r="A105" s="84"/>
      <c r="B105" s="113" t="s">
        <v>274</v>
      </c>
      <c r="C105" s="121"/>
      <c r="D105" s="122"/>
      <c r="E105" s="123" t="s">
        <v>259</v>
      </c>
      <c r="F105" s="112" t="e">
        <f>K100</f>
        <v>#VALUE!</v>
      </c>
      <c r="G105" s="85"/>
      <c r="H105" s="85"/>
      <c r="I105" s="85"/>
      <c r="J105" s="125"/>
      <c r="K105" s="126"/>
      <c r="L105" s="122"/>
      <c r="M105" s="108"/>
    </row>
    <row r="106" spans="1:13">
      <c r="A106" s="84"/>
      <c r="B106" s="113" t="s">
        <v>254</v>
      </c>
      <c r="C106" s="121"/>
      <c r="D106" s="122"/>
      <c r="E106" s="123" t="s">
        <v>259</v>
      </c>
      <c r="F106" s="112" t="e">
        <f>E100</f>
        <v>#VALUE!</v>
      </c>
      <c r="G106" s="85"/>
      <c r="H106" s="119" t="s">
        <v>267</v>
      </c>
      <c r="I106" s="118"/>
      <c r="J106" s="126"/>
      <c r="K106" s="120" t="s">
        <v>259</v>
      </c>
      <c r="L106" s="116" t="e">
        <f>L103-L104</f>
        <v>#VALUE!</v>
      </c>
      <c r="M106" s="108"/>
    </row>
    <row r="107" spans="1:13">
      <c r="A107" s="84"/>
      <c r="B107" s="114" t="s">
        <v>256</v>
      </c>
      <c r="C107" s="121"/>
      <c r="D107" s="122"/>
      <c r="E107" s="123"/>
      <c r="F107" s="124" t="e">
        <f>F104/F103</f>
        <v>#VALUE!</v>
      </c>
      <c r="G107" s="85"/>
      <c r="H107" s="85"/>
      <c r="I107" s="85"/>
      <c r="J107" s="85"/>
      <c r="K107" s="85"/>
      <c r="L107" s="85"/>
      <c r="M107" s="108"/>
    </row>
    <row r="108" spans="1:13">
      <c r="A108" s="84"/>
      <c r="B108" s="93"/>
      <c r="C108" s="84"/>
      <c r="D108" s="86"/>
      <c r="E108" s="86"/>
      <c r="F108" s="86"/>
      <c r="G108" s="85"/>
      <c r="H108" s="85"/>
      <c r="I108" s="85"/>
      <c r="J108" s="85"/>
      <c r="K108" s="85"/>
      <c r="L108" s="85"/>
      <c r="M108" s="108"/>
    </row>
    <row r="109" spans="1:13" ht="12.75" thickBot="1">
      <c r="A109" s="84"/>
      <c r="B109" s="93"/>
      <c r="C109" s="84"/>
      <c r="D109" s="86"/>
      <c r="E109" s="86"/>
      <c r="F109" s="86"/>
      <c r="G109" s="85"/>
      <c r="H109" s="85"/>
      <c r="I109" s="85"/>
      <c r="J109" s="85"/>
      <c r="K109" s="85"/>
      <c r="L109" s="85"/>
      <c r="M109" s="108"/>
    </row>
    <row r="110" spans="1:13" ht="12.75" thickBot="1">
      <c r="A110" s="84"/>
      <c r="B110" s="93" t="s">
        <v>268</v>
      </c>
      <c r="C110" s="1144"/>
      <c r="D110" s="1145"/>
      <c r="E110" s="1145"/>
      <c r="F110" s="1145"/>
      <c r="G110" s="1145"/>
      <c r="H110" s="1145"/>
      <c r="I110" s="1145"/>
      <c r="J110" s="1145"/>
      <c r="K110" s="1145"/>
      <c r="L110" s="1146"/>
      <c r="M110" s="108"/>
    </row>
    <row r="111" spans="1:13">
      <c r="A111" s="84"/>
      <c r="B111" s="93"/>
      <c r="C111" s="84"/>
      <c r="D111" s="86"/>
      <c r="E111" s="86"/>
      <c r="F111" s="86"/>
      <c r="G111" s="85"/>
      <c r="H111" s="85"/>
      <c r="I111" s="85"/>
      <c r="J111" s="85"/>
      <c r="K111" s="85"/>
      <c r="L111" s="85"/>
      <c r="M111" s="108"/>
    </row>
    <row r="112" spans="1:13">
      <c r="A112" s="84"/>
      <c r="B112" s="93"/>
      <c r="C112" s="84"/>
      <c r="D112" s="86"/>
      <c r="E112" s="86"/>
      <c r="F112" s="86"/>
      <c r="G112" s="85"/>
      <c r="H112" s="85"/>
      <c r="I112" s="85"/>
      <c r="J112" s="85"/>
      <c r="K112" s="85"/>
      <c r="L112" s="85"/>
      <c r="M112" s="108"/>
    </row>
    <row r="113" spans="1:13">
      <c r="A113" s="84"/>
      <c r="B113" s="1066" t="s">
        <v>269</v>
      </c>
      <c r="C113" s="1066"/>
      <c r="D113" s="1066"/>
      <c r="E113" s="1066"/>
      <c r="F113" s="1066"/>
      <c r="G113" s="1066"/>
      <c r="H113" s="1066"/>
      <c r="I113" s="1066"/>
      <c r="J113" s="1066"/>
      <c r="K113" s="1066"/>
      <c r="L113" s="1066"/>
      <c r="M113" s="108"/>
    </row>
    <row r="114" spans="1:13">
      <c r="A114" s="84"/>
      <c r="B114" s="94"/>
      <c r="C114" s="84"/>
      <c r="D114" s="86"/>
      <c r="E114" s="86"/>
      <c r="F114" s="86"/>
      <c r="G114" s="85"/>
      <c r="H114" s="85"/>
      <c r="I114" s="85"/>
      <c r="J114" s="85"/>
      <c r="K114" s="85"/>
      <c r="L114" s="85"/>
      <c r="M114" s="108"/>
    </row>
    <row r="115" spans="1:13">
      <c r="A115" s="84"/>
      <c r="B115" s="94"/>
      <c r="C115" s="84"/>
      <c r="D115" s="86"/>
      <c r="E115" s="86"/>
      <c r="F115" s="86"/>
      <c r="G115" s="85"/>
      <c r="H115" s="85"/>
      <c r="I115" s="85"/>
      <c r="J115" s="85"/>
      <c r="K115" s="85"/>
      <c r="L115" s="85"/>
      <c r="M115" s="108"/>
    </row>
    <row r="116" spans="1:13">
      <c r="A116" s="84"/>
      <c r="B116" s="94"/>
      <c r="C116" s="84"/>
      <c r="D116" s="86"/>
      <c r="E116" s="86"/>
      <c r="F116" s="86"/>
      <c r="G116" s="85"/>
      <c r="H116" s="85"/>
      <c r="I116" s="85"/>
      <c r="J116" s="85"/>
      <c r="K116" s="85"/>
      <c r="L116" s="85"/>
      <c r="M116" s="108"/>
    </row>
    <row r="117" spans="1:13">
      <c r="A117" s="84"/>
      <c r="B117" s="94"/>
      <c r="C117" s="84"/>
      <c r="D117" s="86"/>
      <c r="E117" s="86"/>
      <c r="F117" s="86"/>
      <c r="G117" s="85"/>
      <c r="H117" s="85"/>
      <c r="I117" s="85"/>
      <c r="J117" s="85"/>
      <c r="K117" s="85"/>
      <c r="L117" s="85"/>
      <c r="M117" s="108"/>
    </row>
    <row r="118" spans="1:13">
      <c r="A118" s="84"/>
      <c r="B118" s="94"/>
      <c r="C118" s="84"/>
      <c r="D118" s="86"/>
      <c r="E118" s="86"/>
      <c r="F118" s="86"/>
      <c r="G118" s="85"/>
      <c r="H118" s="85"/>
      <c r="I118" s="85"/>
      <c r="J118" s="85"/>
      <c r="K118" s="85"/>
      <c r="L118" s="85"/>
      <c r="M118" s="108"/>
    </row>
    <row r="119" spans="1:13">
      <c r="A119" s="84"/>
      <c r="B119" s="85" t="s">
        <v>271</v>
      </c>
      <c r="C119" s="84"/>
      <c r="D119" s="86"/>
      <c r="E119" s="85" t="s">
        <v>271</v>
      </c>
      <c r="F119" s="86"/>
      <c r="G119" s="85"/>
      <c r="H119" s="85"/>
      <c r="I119" s="85"/>
      <c r="J119" s="85" t="s">
        <v>271</v>
      </c>
      <c r="K119" s="85"/>
      <c r="L119" s="85"/>
      <c r="M119" s="108"/>
    </row>
    <row r="120" spans="1:13">
      <c r="A120" s="84"/>
      <c r="B120" s="115">
        <f>IF(DATOS!E16="Persona Jurídica",DATOS!G20,DATOS!G16)</f>
        <v>0</v>
      </c>
      <c r="C120" s="84"/>
      <c r="D120" s="86"/>
      <c r="E120" s="128">
        <f>IF(DATOS!E10="CONTRATO DE OBRA",IF(DATOS!E24="Persona Jurídica",DATOS!G28,DATOS!G24),DATOS!G30)</f>
        <v>0</v>
      </c>
      <c r="F120" s="86"/>
      <c r="G120" s="85"/>
      <c r="H120" s="85"/>
      <c r="I120" s="85"/>
      <c r="J120" s="874">
        <f>+DATOS!G30</f>
        <v>0</v>
      </c>
      <c r="K120" s="85"/>
      <c r="L120" s="85"/>
      <c r="M120" s="108"/>
    </row>
    <row r="121" spans="1:13">
      <c r="A121" s="84"/>
      <c r="B121" s="85" t="str">
        <f>IF(DATOS!E16="Persona Jurídica",DATOS!G16,"CONTRATISTA")</f>
        <v>CONTRATISTA</v>
      </c>
      <c r="C121" s="84"/>
      <c r="D121" s="86"/>
      <c r="E121" s="127" t="str">
        <f>IF(DATOS!E24="Persona Jurídica",DATOS!G24,"INTERVENTOR")</f>
        <v>INTERVENTOR</v>
      </c>
      <c r="F121" s="86"/>
      <c r="G121" s="85"/>
      <c r="H121" s="85"/>
      <c r="I121" s="85"/>
      <c r="J121" s="82" t="s">
        <v>1143</v>
      </c>
      <c r="K121" s="85"/>
      <c r="L121" s="85"/>
      <c r="M121" s="108"/>
    </row>
    <row r="122" spans="1:13">
      <c r="A122" s="84"/>
      <c r="B122" s="85" t="str">
        <f>IF(DATOS!E16="Persona jurídica","CONTRATISTA"," ")</f>
        <v xml:space="preserve"> </v>
      </c>
      <c r="C122" s="84"/>
      <c r="D122" s="86"/>
      <c r="E122" s="127" t="str">
        <f>IF(DATOS!E24="Persona jurídica","INTERVENTOR"," ")</f>
        <v xml:space="preserve"> </v>
      </c>
      <c r="F122" s="86"/>
      <c r="G122" s="85"/>
      <c r="H122" s="85"/>
      <c r="I122" s="85"/>
      <c r="K122" s="85"/>
      <c r="L122" s="85"/>
      <c r="M122" s="108"/>
    </row>
    <row r="123" spans="1:13">
      <c r="A123" s="84"/>
      <c r="B123" s="85"/>
      <c r="C123" s="84"/>
      <c r="D123" s="86"/>
      <c r="E123" s="86"/>
      <c r="F123" s="86"/>
      <c r="G123" s="85"/>
      <c r="H123" s="85"/>
      <c r="I123" s="85"/>
      <c r="J123" s="85"/>
      <c r="K123" s="85"/>
      <c r="L123" s="85"/>
      <c r="M123" s="108"/>
    </row>
    <row r="124" spans="1:13">
      <c r="A124" s="84"/>
      <c r="B124" s="85"/>
      <c r="C124" s="84"/>
      <c r="D124" s="86"/>
      <c r="E124" s="86"/>
      <c r="F124" s="86"/>
      <c r="G124" s="85"/>
      <c r="H124" s="85"/>
      <c r="I124" s="85"/>
      <c r="J124" s="85"/>
      <c r="K124" s="85"/>
      <c r="L124" s="85"/>
      <c r="M124" s="108"/>
    </row>
    <row r="125" spans="1:13">
      <c r="A125" s="84"/>
      <c r="B125" s="85"/>
      <c r="C125" s="84"/>
      <c r="D125" s="86"/>
      <c r="E125" s="873"/>
      <c r="F125" s="873"/>
      <c r="G125" s="875"/>
      <c r="H125" s="85"/>
      <c r="I125" s="85"/>
      <c r="J125" s="85"/>
      <c r="K125" s="85"/>
      <c r="L125" s="85"/>
      <c r="M125" s="108"/>
    </row>
    <row r="126" spans="1:13">
      <c r="A126" s="84"/>
      <c r="B126" s="85"/>
      <c r="C126" s="84"/>
      <c r="D126" s="86"/>
      <c r="E126" s="115">
        <f>DATOS!E42</f>
        <v>0</v>
      </c>
      <c r="F126" s="86"/>
      <c r="G126" s="85"/>
      <c r="H126" s="85"/>
      <c r="I126" s="85"/>
      <c r="J126" s="85"/>
      <c r="K126" s="85"/>
      <c r="L126" s="85"/>
      <c r="M126" s="108"/>
    </row>
    <row r="127" spans="1:13">
      <c r="A127" s="84"/>
      <c r="B127" s="85"/>
      <c r="C127" s="84"/>
      <c r="D127" s="86"/>
      <c r="E127" s="85" t="s">
        <v>330</v>
      </c>
      <c r="F127" s="86"/>
      <c r="G127" s="85"/>
      <c r="H127" s="85"/>
      <c r="I127" s="85"/>
      <c r="J127" s="85"/>
      <c r="K127" s="85"/>
      <c r="L127" s="85"/>
      <c r="M127" s="108"/>
    </row>
    <row r="128" spans="1:13">
      <c r="A128" s="84"/>
      <c r="B128" s="85"/>
      <c r="C128" s="84"/>
      <c r="D128" s="86"/>
      <c r="E128" s="85" t="s">
        <v>270</v>
      </c>
      <c r="F128" s="86"/>
      <c r="G128" s="85"/>
      <c r="H128" s="85"/>
      <c r="I128" s="85"/>
      <c r="J128" s="85"/>
      <c r="K128" s="85"/>
      <c r="L128" s="85"/>
      <c r="M128" s="108"/>
    </row>
    <row r="129" spans="1:13">
      <c r="A129" s="84"/>
      <c r="B129" s="85"/>
      <c r="C129" s="84"/>
      <c r="D129" s="86"/>
      <c r="E129" s="86"/>
      <c r="F129" s="86"/>
      <c r="G129" s="85"/>
      <c r="H129" s="85"/>
      <c r="I129" s="85"/>
      <c r="J129" s="85"/>
      <c r="K129" s="85"/>
      <c r="L129" s="85"/>
      <c r="M129" s="108"/>
    </row>
    <row r="130" spans="1:13">
      <c r="A130" s="84"/>
      <c r="B130" s="85"/>
      <c r="C130" s="84"/>
      <c r="D130" s="86"/>
      <c r="E130" s="86"/>
      <c r="F130" s="86"/>
      <c r="G130" s="85"/>
      <c r="H130" s="85"/>
      <c r="I130" s="85"/>
      <c r="J130" s="85"/>
      <c r="K130" s="85"/>
      <c r="L130" s="85"/>
      <c r="M130" s="108"/>
    </row>
    <row r="131" spans="1:13">
      <c r="A131" s="84"/>
      <c r="B131" s="85"/>
      <c r="C131" s="84"/>
      <c r="D131" s="86"/>
      <c r="E131" s="86"/>
      <c r="F131" s="86"/>
      <c r="G131" s="85"/>
      <c r="H131" s="85"/>
      <c r="I131" s="85"/>
      <c r="J131" s="85"/>
      <c r="K131" s="85"/>
      <c r="L131" s="85"/>
      <c r="M131" s="108"/>
    </row>
    <row r="132" spans="1:13">
      <c r="A132" s="84"/>
      <c r="B132" s="85"/>
      <c r="C132" s="84"/>
      <c r="D132" s="86"/>
      <c r="E132" s="86"/>
      <c r="F132" s="86"/>
      <c r="G132" s="85"/>
      <c r="H132" s="85"/>
      <c r="I132" s="85"/>
      <c r="J132" s="85"/>
      <c r="K132" s="85"/>
      <c r="L132" s="85"/>
      <c r="M132" s="108"/>
    </row>
    <row r="133" spans="1:13">
      <c r="A133" s="84"/>
      <c r="B133" s="85"/>
      <c r="C133" s="84"/>
      <c r="D133" s="86"/>
      <c r="E133" s="86"/>
      <c r="F133" s="86"/>
      <c r="G133" s="85"/>
      <c r="H133" s="85"/>
      <c r="I133" s="85"/>
      <c r="J133" s="85"/>
      <c r="K133" s="85"/>
      <c r="L133" s="85"/>
      <c r="M133" s="108"/>
    </row>
    <row r="134" spans="1:13">
      <c r="A134" s="84"/>
      <c r="B134" s="85"/>
      <c r="C134" s="84"/>
      <c r="D134" s="86"/>
      <c r="E134" s="86"/>
      <c r="F134" s="86"/>
      <c r="G134" s="85"/>
      <c r="H134" s="85"/>
      <c r="I134" s="85"/>
      <c r="J134" s="85"/>
      <c r="K134" s="85"/>
      <c r="L134" s="85"/>
      <c r="M134" s="108"/>
    </row>
    <row r="135" spans="1:13">
      <c r="A135" s="84"/>
      <c r="B135" s="85"/>
      <c r="C135" s="84"/>
      <c r="D135" s="86"/>
      <c r="E135" s="86"/>
      <c r="F135" s="86"/>
      <c r="G135" s="85"/>
      <c r="H135" s="85"/>
      <c r="I135" s="85"/>
      <c r="J135" s="85"/>
      <c r="K135" s="85"/>
      <c r="L135" s="85"/>
      <c r="M135" s="108"/>
    </row>
    <row r="136" spans="1:13">
      <c r="A136" s="84"/>
      <c r="B136" s="85"/>
      <c r="C136" s="84"/>
      <c r="D136" s="86"/>
      <c r="E136" s="86"/>
      <c r="F136" s="86"/>
      <c r="G136" s="85"/>
      <c r="H136" s="85"/>
      <c r="I136" s="85"/>
      <c r="J136" s="85"/>
      <c r="K136" s="85"/>
      <c r="L136" s="85"/>
      <c r="M136" s="108"/>
    </row>
    <row r="137" spans="1:13">
      <c r="A137" s="84"/>
      <c r="B137" s="85"/>
      <c r="C137" s="84"/>
      <c r="D137" s="86"/>
      <c r="E137" s="86"/>
      <c r="F137" s="86"/>
      <c r="G137" s="85"/>
      <c r="H137" s="85"/>
      <c r="I137" s="85"/>
      <c r="J137" s="85"/>
      <c r="K137" s="85"/>
      <c r="L137" s="85"/>
      <c r="M137" s="108"/>
    </row>
    <row r="138" spans="1:13">
      <c r="A138" s="84"/>
      <c r="B138" s="85"/>
      <c r="C138" s="84"/>
      <c r="D138" s="86"/>
      <c r="E138" s="86"/>
      <c r="F138" s="86"/>
      <c r="G138" s="85"/>
      <c r="H138" s="85"/>
      <c r="I138" s="85"/>
      <c r="J138" s="85"/>
      <c r="K138" s="85"/>
      <c r="L138" s="85"/>
      <c r="M138" s="108"/>
    </row>
    <row r="139" spans="1:13">
      <c r="A139" s="84"/>
      <c r="B139" s="85"/>
      <c r="C139" s="84"/>
      <c r="D139" s="86"/>
      <c r="E139" s="86"/>
      <c r="F139" s="86"/>
      <c r="G139" s="85"/>
      <c r="H139" s="85"/>
      <c r="I139" s="85"/>
      <c r="J139" s="85"/>
      <c r="K139" s="85"/>
      <c r="L139" s="85"/>
      <c r="M139" s="108"/>
    </row>
    <row r="140" spans="1:13">
      <c r="A140" s="84"/>
      <c r="B140" s="85"/>
      <c r="C140" s="84"/>
      <c r="D140" s="86"/>
      <c r="E140" s="86"/>
      <c r="F140" s="86"/>
      <c r="G140" s="85"/>
      <c r="H140" s="85"/>
      <c r="I140" s="85"/>
      <c r="J140" s="85"/>
      <c r="K140" s="85"/>
      <c r="L140" s="85"/>
      <c r="M140" s="108"/>
    </row>
    <row r="141" spans="1:13">
      <c r="A141" s="84"/>
      <c r="B141" s="85"/>
      <c r="C141" s="84"/>
      <c r="D141" s="86"/>
      <c r="E141" s="86"/>
      <c r="F141" s="86"/>
      <c r="G141" s="85"/>
      <c r="H141" s="85"/>
      <c r="I141" s="85"/>
      <c r="J141" s="85"/>
      <c r="K141" s="85"/>
      <c r="L141" s="85"/>
      <c r="M141" s="108"/>
    </row>
    <row r="142" spans="1:13">
      <c r="A142" s="84"/>
      <c r="B142" s="85"/>
      <c r="C142" s="84"/>
      <c r="D142" s="86"/>
      <c r="E142" s="86"/>
      <c r="F142" s="86"/>
      <c r="G142" s="85"/>
      <c r="H142" s="85"/>
      <c r="I142" s="85"/>
      <c r="J142" s="85"/>
      <c r="K142" s="85"/>
      <c r="L142" s="85"/>
      <c r="M142" s="108"/>
    </row>
    <row r="143" spans="1:13">
      <c r="A143" s="84"/>
      <c r="B143" s="85"/>
      <c r="C143" s="84"/>
      <c r="D143" s="86"/>
      <c r="E143" s="86"/>
      <c r="F143" s="86"/>
      <c r="G143" s="85"/>
      <c r="H143" s="85"/>
      <c r="I143" s="85"/>
      <c r="J143" s="85"/>
      <c r="K143" s="85"/>
      <c r="L143" s="85"/>
      <c r="M143" s="108"/>
    </row>
    <row r="144" spans="1:13">
      <c r="A144" s="84"/>
      <c r="B144" s="85"/>
      <c r="C144" s="84"/>
      <c r="D144" s="86"/>
      <c r="E144" s="86"/>
      <c r="F144" s="86"/>
      <c r="G144" s="85"/>
      <c r="H144" s="85"/>
      <c r="I144" s="85"/>
      <c r="J144" s="85"/>
      <c r="K144" s="85"/>
      <c r="L144" s="85"/>
      <c r="M144" s="108"/>
    </row>
    <row r="145" spans="1:13">
      <c r="A145" s="84"/>
      <c r="B145" s="85"/>
      <c r="C145" s="84"/>
      <c r="D145" s="86"/>
      <c r="E145" s="86"/>
      <c r="F145" s="86"/>
      <c r="G145" s="85"/>
      <c r="H145" s="85"/>
      <c r="I145" s="85"/>
      <c r="J145" s="85"/>
      <c r="K145" s="85"/>
      <c r="L145" s="85"/>
      <c r="M145" s="108"/>
    </row>
    <row r="146" spans="1:13">
      <c r="A146" s="84"/>
      <c r="B146" s="85"/>
      <c r="C146" s="84"/>
      <c r="D146" s="86"/>
      <c r="E146" s="86"/>
      <c r="F146" s="86"/>
      <c r="G146" s="85"/>
      <c r="H146" s="85"/>
      <c r="I146" s="85"/>
      <c r="J146" s="85"/>
      <c r="K146" s="85"/>
      <c r="L146" s="85"/>
      <c r="M146" s="108"/>
    </row>
    <row r="147" spans="1:13">
      <c r="A147" s="84"/>
      <c r="B147" s="85"/>
      <c r="C147" s="84"/>
      <c r="D147" s="86"/>
      <c r="E147" s="86"/>
      <c r="F147" s="86"/>
      <c r="G147" s="85"/>
      <c r="H147" s="85"/>
      <c r="I147" s="85"/>
      <c r="J147" s="85"/>
      <c r="K147" s="85"/>
      <c r="L147" s="85"/>
      <c r="M147" s="108"/>
    </row>
    <row r="148" spans="1:13">
      <c r="A148" s="84"/>
      <c r="B148" s="85"/>
      <c r="C148" s="84"/>
      <c r="D148" s="86"/>
      <c r="E148" s="86"/>
      <c r="F148" s="86"/>
      <c r="G148" s="85"/>
      <c r="H148" s="85"/>
      <c r="I148" s="85"/>
      <c r="J148" s="85"/>
      <c r="K148" s="85"/>
      <c r="L148" s="85"/>
      <c r="M148" s="108"/>
    </row>
    <row r="149" spans="1:13">
      <c r="A149" s="84"/>
      <c r="B149" s="85"/>
      <c r="C149" s="84"/>
      <c r="D149" s="86"/>
      <c r="E149" s="86"/>
      <c r="F149" s="86"/>
      <c r="G149" s="85"/>
      <c r="H149" s="85"/>
      <c r="I149" s="85"/>
      <c r="J149" s="85"/>
      <c r="K149" s="85"/>
      <c r="L149" s="85"/>
      <c r="M149" s="108"/>
    </row>
    <row r="150" spans="1:13">
      <c r="A150" s="84"/>
      <c r="B150" s="85"/>
      <c r="C150" s="84"/>
      <c r="D150" s="86"/>
      <c r="E150" s="86"/>
      <c r="F150" s="86"/>
      <c r="G150" s="85"/>
      <c r="H150" s="85"/>
      <c r="I150" s="85"/>
      <c r="J150" s="85"/>
      <c r="K150" s="85"/>
      <c r="L150" s="85"/>
      <c r="M150" s="108"/>
    </row>
    <row r="151" spans="1:13">
      <c r="A151" s="84"/>
      <c r="B151" s="85"/>
      <c r="C151" s="84"/>
      <c r="D151" s="86"/>
      <c r="E151" s="86"/>
      <c r="F151" s="86"/>
      <c r="G151" s="85"/>
      <c r="H151" s="85"/>
      <c r="I151" s="85"/>
      <c r="J151" s="85"/>
      <c r="K151" s="85"/>
      <c r="L151" s="85"/>
      <c r="M151" s="108"/>
    </row>
    <row r="152" spans="1:13">
      <c r="A152" s="84"/>
      <c r="B152" s="85"/>
      <c r="C152" s="84"/>
      <c r="D152" s="86"/>
      <c r="E152" s="86"/>
      <c r="F152" s="86"/>
      <c r="G152" s="85"/>
      <c r="H152" s="85"/>
      <c r="I152" s="85"/>
      <c r="J152" s="85"/>
      <c r="K152" s="85"/>
      <c r="L152" s="85"/>
      <c r="M152" s="108"/>
    </row>
    <row r="153" spans="1:13">
      <c r="A153" s="84"/>
      <c r="B153" s="85"/>
      <c r="C153" s="84"/>
      <c r="D153" s="86"/>
      <c r="E153" s="86"/>
      <c r="F153" s="86"/>
      <c r="G153" s="85"/>
      <c r="H153" s="85"/>
      <c r="I153" s="85"/>
      <c r="J153" s="85"/>
      <c r="K153" s="85"/>
      <c r="L153" s="85"/>
      <c r="M153" s="108"/>
    </row>
    <row r="154" spans="1:13">
      <c r="A154" s="84"/>
      <c r="B154" s="85"/>
      <c r="C154" s="84"/>
      <c r="D154" s="86"/>
      <c r="E154" s="86"/>
      <c r="F154" s="86"/>
      <c r="G154" s="85"/>
      <c r="H154" s="85"/>
      <c r="I154" s="85"/>
      <c r="J154" s="85"/>
      <c r="K154" s="85"/>
      <c r="L154" s="85"/>
      <c r="M154" s="108"/>
    </row>
    <row r="155" spans="1:13">
      <c r="A155" s="84"/>
      <c r="B155" s="85"/>
      <c r="C155" s="84"/>
      <c r="D155" s="86"/>
      <c r="E155" s="86"/>
      <c r="F155" s="86"/>
      <c r="G155" s="85"/>
      <c r="H155" s="85"/>
      <c r="I155" s="85"/>
      <c r="J155" s="85"/>
      <c r="K155" s="85"/>
      <c r="L155" s="85"/>
      <c r="M155" s="108"/>
    </row>
    <row r="156" spans="1:13">
      <c r="A156" s="84"/>
      <c r="B156" s="85"/>
      <c r="C156" s="84"/>
      <c r="D156" s="86"/>
      <c r="E156" s="86"/>
      <c r="F156" s="86"/>
      <c r="G156" s="85"/>
      <c r="H156" s="85"/>
      <c r="I156" s="85"/>
      <c r="J156" s="85"/>
      <c r="K156" s="85"/>
      <c r="L156" s="85"/>
      <c r="M156" s="108"/>
    </row>
    <row r="157" spans="1:13">
      <c r="A157" s="84"/>
      <c r="B157" s="85"/>
      <c r="C157" s="84"/>
      <c r="D157" s="86"/>
      <c r="E157" s="86"/>
      <c r="F157" s="86"/>
      <c r="G157" s="85"/>
      <c r="H157" s="85"/>
      <c r="I157" s="85"/>
      <c r="J157" s="85"/>
      <c r="K157" s="85"/>
      <c r="L157" s="85"/>
      <c r="M157" s="108"/>
    </row>
  </sheetData>
  <mergeCells count="31">
    <mergeCell ref="B84:C84"/>
    <mergeCell ref="B86:C86"/>
    <mergeCell ref="B88:C88"/>
    <mergeCell ref="B90:C90"/>
    <mergeCell ref="B69:C69"/>
    <mergeCell ref="B113:L113"/>
    <mergeCell ref="C110:L110"/>
    <mergeCell ref="A15:A16"/>
    <mergeCell ref="B10:B13"/>
    <mergeCell ref="C1:J1"/>
    <mergeCell ref="C15:F15"/>
    <mergeCell ref="A1:B9"/>
    <mergeCell ref="A10:A13"/>
    <mergeCell ref="F2:G2"/>
    <mergeCell ref="F7:G7"/>
    <mergeCell ref="F8:G8"/>
    <mergeCell ref="F9:G9"/>
    <mergeCell ref="F6:G6"/>
    <mergeCell ref="F5:G5"/>
    <mergeCell ref="F4:G4"/>
    <mergeCell ref="F3:G3"/>
    <mergeCell ref="B15:B16"/>
    <mergeCell ref="F11:G11"/>
    <mergeCell ref="F12:G12"/>
    <mergeCell ref="F13:G13"/>
    <mergeCell ref="K4:L11"/>
    <mergeCell ref="G15:H15"/>
    <mergeCell ref="F10:G10"/>
    <mergeCell ref="K12:L13"/>
    <mergeCell ref="I15:J15"/>
    <mergeCell ref="K15:L15"/>
  </mergeCells>
  <conditionalFormatting sqref="F11:G11">
    <cfRule type="expression" dxfId="326" priority="26">
      <formula>$F$11&gt;0</formula>
    </cfRule>
  </conditionalFormatting>
  <conditionalFormatting sqref="F12:G12">
    <cfRule type="expression" dxfId="325" priority="25">
      <formula>$F$12&gt;0</formula>
    </cfRule>
  </conditionalFormatting>
  <conditionalFormatting sqref="F13:G13">
    <cfRule type="expression" dxfId="324" priority="24">
      <formula>$F$13&gt;0</formula>
    </cfRule>
  </conditionalFormatting>
  <conditionalFormatting sqref="J3">
    <cfRule type="expression" dxfId="323" priority="23">
      <formula>$J$3&gt;0</formula>
    </cfRule>
  </conditionalFormatting>
  <conditionalFormatting sqref="J4">
    <cfRule type="expression" dxfId="322" priority="22">
      <formula>$J$4&gt;0</formula>
    </cfRule>
  </conditionalFormatting>
  <conditionalFormatting sqref="J5">
    <cfRule type="expression" dxfId="321" priority="21">
      <formula>$J$5&gt;0</formula>
    </cfRule>
  </conditionalFormatting>
  <conditionalFormatting sqref="J6">
    <cfRule type="expression" dxfId="320" priority="19">
      <formula>$J$6&gt;0</formula>
    </cfRule>
  </conditionalFormatting>
  <conditionalFormatting sqref="J7">
    <cfRule type="expression" dxfId="319" priority="18">
      <formula>$J$7&gt;0</formula>
    </cfRule>
  </conditionalFormatting>
  <conditionalFormatting sqref="J8">
    <cfRule type="expression" dxfId="318" priority="17">
      <formula>$J$8&gt;0</formula>
    </cfRule>
  </conditionalFormatting>
  <conditionalFormatting sqref="J9">
    <cfRule type="expression" dxfId="317" priority="16">
      <formula>$J$9&gt;0</formula>
    </cfRule>
  </conditionalFormatting>
  <conditionalFormatting sqref="J10">
    <cfRule type="expression" dxfId="316" priority="14">
      <formula>$J$10&gt;0</formula>
    </cfRule>
    <cfRule type="expression" dxfId="315" priority="15">
      <formula>$J$10&gt;0</formula>
    </cfRule>
  </conditionalFormatting>
  <conditionalFormatting sqref="J11">
    <cfRule type="expression" dxfId="314" priority="13">
      <formula>$J$11&gt;0</formula>
    </cfRule>
  </conditionalFormatting>
  <conditionalFormatting sqref="J12">
    <cfRule type="expression" dxfId="313" priority="12">
      <formula>$J$12&gt;0</formula>
    </cfRule>
  </conditionalFormatting>
  <conditionalFormatting sqref="F4:G4">
    <cfRule type="expression" dxfId="312" priority="11">
      <formula>$F$4=" "</formula>
    </cfRule>
  </conditionalFormatting>
  <conditionalFormatting sqref="F6:G6">
    <cfRule type="expression" dxfId="311" priority="10">
      <formula>$F$6=" "</formula>
    </cfRule>
  </conditionalFormatting>
  <conditionalFormatting sqref="I20:I63 I72:I78">
    <cfRule type="expression" dxfId="310" priority="9">
      <formula>I20&gt;G20</formula>
    </cfRule>
  </conditionalFormatting>
  <conditionalFormatting sqref="I17:I19">
    <cfRule type="expression" dxfId="309" priority="6">
      <formula>I17&gt;G17</formula>
    </cfRule>
  </conditionalFormatting>
  <conditionalFormatting sqref="I79:I80">
    <cfRule type="expression" dxfId="308" priority="3">
      <formula>I79&gt;G79</formula>
    </cfRule>
  </conditionalFormatting>
  <conditionalFormatting sqref="I71">
    <cfRule type="expression" dxfId="307" priority="2">
      <formula>I71&gt;G71</formula>
    </cfRule>
  </conditionalFormatting>
  <conditionalFormatting sqref="F104">
    <cfRule type="expression" dxfId="306" priority="1">
      <formula>$F$104&lt;&gt;$L$91</formula>
    </cfRule>
  </conditionalFormatting>
  <printOptions horizontalCentered="1"/>
  <pageMargins left="0.43307086614173229" right="0.43307086614173229" top="0.59055118110236227" bottom="0.59055118110236227" header="0.31496062992125984" footer="0.31496062992125984"/>
  <pageSetup scale="64" orientation="landscape" r:id="rId1"/>
  <headerFooter>
    <oddFooter>&amp;C&amp;"-,Cursiva"&amp;10&amp;A&amp;R&amp;"-,Cursiva"&amp;10Página &amp;P de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1:M160"/>
  <sheetViews>
    <sheetView topLeftCell="A13" zoomScaleNormal="100" workbookViewId="0">
      <selection activeCell="K55" sqref="K55"/>
    </sheetView>
  </sheetViews>
  <sheetFormatPr baseColWidth="10" defaultColWidth="13.7109375" defaultRowHeight="12"/>
  <cols>
    <col min="1" max="1" width="7.7109375" style="81" customWidth="1"/>
    <col min="2" max="2" width="54.5703125" style="82" customWidth="1"/>
    <col min="3" max="3" width="5.7109375" style="81" customWidth="1"/>
    <col min="4" max="4" width="9.140625" style="83" customWidth="1"/>
    <col min="5" max="5" width="14.7109375" style="83" customWidth="1"/>
    <col min="6" max="6" width="15.85546875" style="83" customWidth="1"/>
    <col min="7" max="7" width="13.42578125" style="82" customWidth="1"/>
    <col min="8" max="8" width="14.7109375" style="82" customWidth="1"/>
    <col min="9" max="9" width="13.28515625" style="82" customWidth="1"/>
    <col min="10" max="10" width="21.28515625" style="82" customWidth="1"/>
    <col min="11" max="12" width="15.28515625" style="82" customWidth="1"/>
    <col min="13" max="13" width="4.7109375" style="82" customWidth="1"/>
    <col min="14" max="16384" width="13.7109375" style="82"/>
  </cols>
  <sheetData>
    <row r="1" spans="1:12" ht="14.45" customHeight="1">
      <c r="A1" s="1049" t="s">
        <v>246</v>
      </c>
      <c r="B1" s="1050"/>
      <c r="C1" s="1051" t="str">
        <f>"MUNICIPIO DE "&amp;DATOS!E8</f>
        <v xml:space="preserve">MUNICIPIO DE </v>
      </c>
      <c r="D1" s="1052"/>
      <c r="E1" s="1052"/>
      <c r="F1" s="1052"/>
      <c r="G1" s="1052"/>
      <c r="H1" s="1052"/>
      <c r="I1" s="1052"/>
      <c r="J1" s="1052"/>
      <c r="K1" s="129" t="s">
        <v>90</v>
      </c>
      <c r="L1" s="130" t="s">
        <v>84</v>
      </c>
    </row>
    <row r="2" spans="1:12" ht="12" customHeight="1">
      <c r="A2" s="1050"/>
      <c r="B2" s="1050"/>
      <c r="C2" s="103" t="str">
        <f>DATOS!E10&amp;" No.:"</f>
        <v xml:space="preserve"> No.:</v>
      </c>
      <c r="D2" s="104"/>
      <c r="E2" s="105"/>
      <c r="F2" s="1053" t="str">
        <f>DATOS!E12&amp;" "&amp;DATOS!G12&amp;" "&amp;DATOS!I12</f>
        <v xml:space="preserve">  </v>
      </c>
      <c r="G2" s="1055"/>
      <c r="H2" s="103" t="s">
        <v>184</v>
      </c>
      <c r="I2" s="105"/>
      <c r="J2" s="109">
        <f>DATOS!E52</f>
        <v>0</v>
      </c>
      <c r="K2" s="129" t="s">
        <v>89</v>
      </c>
      <c r="L2" s="130" t="s">
        <v>248</v>
      </c>
    </row>
    <row r="3" spans="1:12" ht="12" customHeight="1">
      <c r="A3" s="1050"/>
      <c r="B3" s="1050"/>
      <c r="C3" s="98" t="s">
        <v>4</v>
      </c>
      <c r="D3" s="99"/>
      <c r="E3" s="100"/>
      <c r="F3" s="1053">
        <f>DATOS!G16</f>
        <v>0</v>
      </c>
      <c r="G3" s="1055"/>
      <c r="H3" s="103" t="s">
        <v>236</v>
      </c>
      <c r="I3" s="105"/>
      <c r="J3" s="110">
        <f>DATOS!E72</f>
        <v>42428</v>
      </c>
      <c r="K3" s="129" t="s">
        <v>247</v>
      </c>
      <c r="L3" s="130" t="s">
        <v>249</v>
      </c>
    </row>
    <row r="4" spans="1:12" ht="12" customHeight="1">
      <c r="A4" s="1050"/>
      <c r="B4" s="1050"/>
      <c r="C4" s="98" t="s">
        <v>5</v>
      </c>
      <c r="D4" s="99"/>
      <c r="E4" s="100"/>
      <c r="F4" s="1053" t="str">
        <f>IF(DATOS!E16="Persona Jurídica",DATOS!G20," ")</f>
        <v xml:space="preserve"> </v>
      </c>
      <c r="G4" s="1055"/>
      <c r="H4" s="103" t="s">
        <v>241</v>
      </c>
      <c r="I4" s="105"/>
      <c r="J4" s="106">
        <f>DATOS!E74</f>
        <v>42459</v>
      </c>
      <c r="K4" s="1062" t="s">
        <v>373</v>
      </c>
      <c r="L4" s="1063"/>
    </row>
    <row r="5" spans="1:12" ht="12" customHeight="1">
      <c r="A5" s="1050"/>
      <c r="B5" s="1050"/>
      <c r="C5" s="98" t="s">
        <v>105</v>
      </c>
      <c r="D5" s="99"/>
      <c r="E5" s="100"/>
      <c r="F5" s="1053">
        <f>LOOKUP(C5,DATOS!C24:C30,DATOS!G24:G30)</f>
        <v>0</v>
      </c>
      <c r="G5" s="1055"/>
      <c r="H5" s="103" t="s">
        <v>237</v>
      </c>
      <c r="I5" s="105"/>
      <c r="J5" s="106">
        <f>DATOS!E78</f>
        <v>42491</v>
      </c>
      <c r="K5" s="1062"/>
      <c r="L5" s="1063"/>
    </row>
    <row r="6" spans="1:12" ht="12" customHeight="1">
      <c r="A6" s="1050"/>
      <c r="B6" s="1050"/>
      <c r="C6" s="98" t="s">
        <v>5</v>
      </c>
      <c r="D6" s="99"/>
      <c r="E6" s="100"/>
      <c r="F6" s="1053" t="str">
        <f>IF(DATOS!E24="Persona Jurídica",DATOS!G28," ")</f>
        <v xml:space="preserve"> </v>
      </c>
      <c r="G6" s="1055"/>
      <c r="H6" s="103" t="s">
        <v>242</v>
      </c>
      <c r="I6" s="105"/>
      <c r="J6" s="106">
        <f>DATOS!E80</f>
        <v>42916</v>
      </c>
      <c r="K6" s="1062"/>
      <c r="L6" s="1063"/>
    </row>
    <row r="7" spans="1:12" ht="12" customHeight="1">
      <c r="A7" s="1050"/>
      <c r="B7" s="1050"/>
      <c r="C7" s="98" t="s">
        <v>185</v>
      </c>
      <c r="D7" s="99"/>
      <c r="E7" s="100"/>
      <c r="F7" s="1041">
        <f>DATOS!E46</f>
        <v>0</v>
      </c>
      <c r="G7" s="1043"/>
      <c r="H7" s="103" t="s">
        <v>238</v>
      </c>
      <c r="I7" s="105"/>
      <c r="J7" s="106">
        <f>DATOS!E84</f>
        <v>42541</v>
      </c>
      <c r="K7" s="1062"/>
      <c r="L7" s="1063"/>
    </row>
    <row r="8" spans="1:12" ht="12" customHeight="1">
      <c r="A8" s="1050"/>
      <c r="B8" s="1050"/>
      <c r="C8" s="98" t="s">
        <v>77</v>
      </c>
      <c r="D8" s="99"/>
      <c r="E8" s="100"/>
      <c r="F8" s="1041">
        <f>DATOS!E60</f>
        <v>30000000</v>
      </c>
      <c r="G8" s="1043"/>
      <c r="H8" s="103" t="s">
        <v>243</v>
      </c>
      <c r="I8" s="105"/>
      <c r="J8" s="106">
        <f>DATOS!E86</f>
        <v>42546</v>
      </c>
      <c r="K8" s="1062"/>
      <c r="L8" s="1063"/>
    </row>
    <row r="9" spans="1:12" ht="12" customHeight="1">
      <c r="A9" s="1050"/>
      <c r="B9" s="1050"/>
      <c r="C9" s="98" t="s">
        <v>78</v>
      </c>
      <c r="D9" s="99"/>
      <c r="E9" s="100"/>
      <c r="F9" s="1041">
        <f>DATOS!E62</f>
        <v>0</v>
      </c>
      <c r="G9" s="1043"/>
      <c r="H9" s="103" t="s">
        <v>239</v>
      </c>
      <c r="I9" s="105"/>
      <c r="J9" s="106">
        <f>DATOS!E90</f>
        <v>0</v>
      </c>
      <c r="K9" s="1062"/>
      <c r="L9" s="1063"/>
    </row>
    <row r="10" spans="1:12" ht="12" customHeight="1">
      <c r="A10" s="1044" t="s">
        <v>8</v>
      </c>
      <c r="B10" s="1045">
        <f>DATOS!E38</f>
        <v>0</v>
      </c>
      <c r="C10" s="98" t="s">
        <v>186</v>
      </c>
      <c r="D10" s="99"/>
      <c r="E10" s="100"/>
      <c r="F10" s="1041">
        <f>F7+F8+F9</f>
        <v>30000000</v>
      </c>
      <c r="G10" s="1043"/>
      <c r="H10" s="103" t="s">
        <v>244</v>
      </c>
      <c r="I10" s="105"/>
      <c r="J10" s="106">
        <f>DATOS!E92</f>
        <v>0</v>
      </c>
      <c r="K10" s="1062"/>
      <c r="L10" s="1063"/>
    </row>
    <row r="11" spans="1:12" ht="12" customHeight="1">
      <c r="A11" s="1044"/>
      <c r="B11" s="1045"/>
      <c r="C11" s="98" t="s">
        <v>233</v>
      </c>
      <c r="D11" s="99"/>
      <c r="E11" s="100"/>
      <c r="F11" s="1046">
        <f>DATOS!E174</f>
        <v>42602</v>
      </c>
      <c r="G11" s="1048"/>
      <c r="H11" s="103" t="s">
        <v>240</v>
      </c>
      <c r="I11" s="105"/>
      <c r="J11" s="106"/>
      <c r="K11" s="1064"/>
      <c r="L11" s="1065"/>
    </row>
    <row r="12" spans="1:12" ht="12" customHeight="1">
      <c r="A12" s="1044"/>
      <c r="B12" s="1045"/>
      <c r="C12" s="98" t="s">
        <v>234</v>
      </c>
      <c r="D12" s="99"/>
      <c r="E12" s="100"/>
      <c r="F12" s="1046">
        <f>DATOS!E176</f>
        <v>0</v>
      </c>
      <c r="G12" s="1048"/>
      <c r="H12" s="103" t="s">
        <v>245</v>
      </c>
      <c r="I12" s="105"/>
      <c r="J12" s="106"/>
      <c r="K12" s="1073">
        <f>DATOS!E148</f>
        <v>0</v>
      </c>
      <c r="L12" s="1074"/>
    </row>
    <row r="13" spans="1:12" ht="12" customHeight="1">
      <c r="A13" s="1044"/>
      <c r="B13" s="1045"/>
      <c r="C13" s="98" t="s">
        <v>235</v>
      </c>
      <c r="D13" s="99"/>
      <c r="E13" s="100"/>
      <c r="F13" s="1046">
        <f>DATOS!E178</f>
        <v>0</v>
      </c>
      <c r="G13" s="1048"/>
      <c r="H13" s="103" t="s">
        <v>72</v>
      </c>
      <c r="I13" s="105"/>
      <c r="J13" s="107">
        <f>DATOS!E132</f>
        <v>614</v>
      </c>
      <c r="K13" s="1075"/>
      <c r="L13" s="1076"/>
    </row>
    <row r="14" spans="1:12">
      <c r="A14" s="84"/>
      <c r="B14" s="85"/>
      <c r="C14" s="84"/>
      <c r="D14" s="86"/>
      <c r="E14" s="86"/>
      <c r="F14" s="86"/>
      <c r="G14" s="85"/>
      <c r="H14" s="85"/>
      <c r="I14" s="85"/>
      <c r="J14" s="85"/>
      <c r="K14" s="85"/>
      <c r="L14" s="85"/>
    </row>
    <row r="15" spans="1:12">
      <c r="A15" s="1040" t="s">
        <v>181</v>
      </c>
      <c r="B15" s="1040" t="s">
        <v>115</v>
      </c>
      <c r="C15" s="1147" t="s">
        <v>182</v>
      </c>
      <c r="D15" s="1148"/>
      <c r="E15" s="1148"/>
      <c r="F15" s="1149"/>
      <c r="G15" s="1139" t="s">
        <v>187</v>
      </c>
      <c r="H15" s="1140"/>
      <c r="I15" s="1141" t="s">
        <v>188</v>
      </c>
      <c r="J15" s="1142"/>
      <c r="K15" s="1143" t="s">
        <v>189</v>
      </c>
      <c r="L15" s="1143"/>
    </row>
    <row r="16" spans="1:12">
      <c r="A16" s="1040"/>
      <c r="B16" s="1040"/>
      <c r="C16" s="319" t="s">
        <v>164</v>
      </c>
      <c r="D16" s="96" t="s">
        <v>118</v>
      </c>
      <c r="E16" s="96" t="s">
        <v>180</v>
      </c>
      <c r="F16" s="96" t="s">
        <v>117</v>
      </c>
      <c r="G16" s="101" t="s">
        <v>317</v>
      </c>
      <c r="H16" s="101" t="s">
        <v>117</v>
      </c>
      <c r="I16" s="131" t="s">
        <v>317</v>
      </c>
      <c r="J16" s="131" t="s">
        <v>117</v>
      </c>
      <c r="K16" s="320" t="s">
        <v>317</v>
      </c>
      <c r="L16" s="320" t="s">
        <v>117</v>
      </c>
    </row>
    <row r="17" spans="1:13">
      <c r="A17" s="87" t="str">
        <f>IF(LOOKUP(M17,PPTO!$J$8:$J$269,PPTO!A$8:A$269)=0," ",LOOKUP(M17,PPTO!$J$8:$J$269,PPTO!A$8:A$269))</f>
        <v xml:space="preserve"> </v>
      </c>
      <c r="B17" s="88" t="str">
        <f>IF(LOOKUP(M17,PPTO!$J$8:J$269,PPTO!B$8:B$269)=0," ",LOOKUP(M17,PPTO!$J$8:J$269,PPTO!B$8:B$269))</f>
        <v xml:space="preserve"> </v>
      </c>
      <c r="C17" s="89" t="str">
        <f>IF(LOOKUP(M17,PPTO!$J$8:$J$269,PPTO!D$8:D$269)=0," ",LOOKUP(M17,PPTO!$J$8:$J$269,PPTO!D$8:D$269))</f>
        <v xml:space="preserve"> </v>
      </c>
      <c r="D17" s="90" t="str">
        <f>IF(LOOKUP(M17,PPTO!$J$8:$J$269,PPTO!D$8:D$269)=0," ",LOOKUP(M17,PPTO!$J$8:$J$269,PPTO!D$8:D$269))</f>
        <v xml:space="preserve"> </v>
      </c>
      <c r="E17" s="90" t="str">
        <f>IF(LOOKUP(M17,PPTO!$J$8:$J$269,PPTO!E$8:E$269)=0," ",LOOKUP(M17,PPTO!$J$8:$J$269,PPTO!E$8:E$269))</f>
        <v xml:space="preserve"> </v>
      </c>
      <c r="F17" s="90" t="str">
        <f>IF(LOOKUP(M17,PPTO!$J$8:$J$269,PPTO!F$8:F$269)=0," ",LOOKUP(M17,PPTO!$J$8:$J$269,PPTO!F$8:F$269))</f>
        <v xml:space="preserve"> </v>
      </c>
      <c r="G17" s="178"/>
      <c r="H17" s="102"/>
      <c r="I17" s="174"/>
      <c r="J17" s="102"/>
      <c r="K17" s="102"/>
      <c r="L17" s="102"/>
      <c r="M17" s="108">
        <v>1</v>
      </c>
    </row>
    <row r="18" spans="1:13">
      <c r="A18" s="87" t="str">
        <f>IF(LOOKUP(M18,PPTO!$J$8:$J$269,PPTO!A$8:A$269)=0," ",LOOKUP(M18,PPTO!$J$8:$J$269,PPTO!A$8:A$269))</f>
        <v xml:space="preserve"> </v>
      </c>
      <c r="B18" s="88" t="str">
        <f>IF(LOOKUP(M18,PPTO!$J$8:J$269,PPTO!B$8:B$269)=0," ",LOOKUP(M18,PPTO!$J$8:J$269,PPTO!B$8:B$269))</f>
        <v>PRESUPUESTO OBRA CIVIL</v>
      </c>
      <c r="C18" s="89" t="str">
        <f>IF(LOOKUP(M18,PPTO!$J$8:$J$269,PPTO!D$8:D$269)=0," ",LOOKUP(M18,PPTO!$J$8:$J$269,PPTO!D$8:D$269))</f>
        <v xml:space="preserve"> </v>
      </c>
      <c r="D18" s="90" t="str">
        <f>IF(LOOKUP(M18,PPTO!$J$8:$J$269,PPTO!D$8:D$269)=0," ",LOOKUP(M18,PPTO!$J$8:$J$269,PPTO!D$8:D$269))</f>
        <v xml:space="preserve"> </v>
      </c>
      <c r="E18" s="90" t="str">
        <f>IF(LOOKUP(M18,PPTO!$J$8:$J$269,PPTO!E$8:E$269)=0," ",LOOKUP(M18,PPTO!$J$8:$J$269,PPTO!E$8:E$269))</f>
        <v xml:space="preserve"> </v>
      </c>
      <c r="F18" s="90" t="str">
        <f>IF(LOOKUP(M18,PPTO!$J$8:$J$269,PPTO!H$8:H$269)=0," ",LOOKUP(M18,PPTO!$J$8:$J$269,PPTO!H$8:H$269))</f>
        <v xml:space="preserve"> </v>
      </c>
      <c r="G18" s="178"/>
      <c r="H18" s="102"/>
      <c r="I18" s="174"/>
      <c r="J18" s="102"/>
      <c r="K18" s="102"/>
      <c r="L18" s="102"/>
      <c r="M18" s="108">
        <f>M17+1</f>
        <v>2</v>
      </c>
    </row>
    <row r="19" spans="1:13">
      <c r="A19" s="92">
        <f>IF(LOOKUP(M19,PPTO!$J$8:$J$269,PPTO!A$8:A$269)=0," ",LOOKUP(M19,PPTO!$J$8:$J$269,PPTO!A$8:A$269))</f>
        <v>1</v>
      </c>
      <c r="B19" s="88" t="str">
        <f>IF(LOOKUP(M19,PPTO!$J$8:J$269,PPTO!B$8:B$269)=0," ",LOOKUP(M19,PPTO!$J$8:J$269,PPTO!B$8:B$269))</f>
        <v>PRELIMINARES</v>
      </c>
      <c r="C19" s="89" t="str">
        <f>IF(LOOKUP(M19,PPTO!$J$8:$J$269,PPTO!D$8:D$269)=0," ",LOOKUP(M19,PPTO!$J$8:$J$269,PPTO!D$8:D$269))</f>
        <v xml:space="preserve"> </v>
      </c>
      <c r="D19" s="90" t="str">
        <f>IF(LOOKUP(M19,PPTO!$J$8:$J$269,PPTO!E$8:E$269)=0," ",LOOKUP(M19,PPTO!$J$8:$J$269,PPTO!E$8:E$269))</f>
        <v xml:space="preserve"> </v>
      </c>
      <c r="E19" s="90" t="str">
        <f>IF(LOOKUP(M19,PPTO!$J$8:$J$269,PPTO!F$8:F$269)=0," ",LOOKUP(M19,PPTO!$J$8:$J$269,PPTO!F$8:F$269))</f>
        <v xml:space="preserve"> </v>
      </c>
      <c r="F19" s="90" t="str">
        <f>IF(LOOKUP(M19,PPTO!$J$8:$J$269,PPTO!H$8:H$269)=0," ",LOOKUP(M19,PPTO!$J$8:$J$269,PPTO!H$8:H$269))</f>
        <v xml:space="preserve"> </v>
      </c>
      <c r="G19" s="178"/>
      <c r="H19" s="102"/>
      <c r="I19" s="174"/>
      <c r="J19" s="102"/>
      <c r="K19" s="102"/>
      <c r="L19" s="102"/>
      <c r="M19" s="108">
        <f t="shared" ref="M19:M60" si="0">M18+1</f>
        <v>3</v>
      </c>
    </row>
    <row r="20" spans="1:13">
      <c r="A20" s="87" t="str">
        <f>IF(LOOKUP(M20,PPTO!$J$8:$J$269,PPTO!A$8:A$269)=0," ",LOOKUP(M20,PPTO!$J$8:$J$269,PPTO!A$8:A$269))</f>
        <v>1.02</v>
      </c>
      <c r="B20" s="91" t="str">
        <f>IF(LOOKUP(M20,PPTO!$J$8:J$269,PPTO!B$8:B$269)=0," ",LOOKUP(M20,PPTO!$J$8:J$269,PPTO!B$8:B$269))</f>
        <v xml:space="preserve"> </v>
      </c>
      <c r="C20" s="89" t="str">
        <f>IF(LOOKUP(M20,PPTO!$J$8:$J$269,PPTO!D$8:D$269)=0," ",LOOKUP(M20,PPTO!$J$8:$J$269,PPTO!D$8:D$269))</f>
        <v>ML</v>
      </c>
      <c r="D20" s="90" t="str">
        <f>IF(LOOKUP(M20,PPTO!$J$8:$J$269,PPTO!E$8:E$269)=0," ",LOOKUP(M20,PPTO!$J$8:$J$269,PPTO!E$8:E$269))</f>
        <v xml:space="preserve"> </v>
      </c>
      <c r="E20" s="90" t="str">
        <f>IF(LOOKUP(M20,PPTO!$J$8:$J$269,PPTO!F$8:F$269)=0," ",LOOKUP(M20,PPTO!$J$8:$J$269,PPTO!F$8:F$269))</f>
        <v xml:space="preserve"> </v>
      </c>
      <c r="F20" s="90" t="str">
        <f>IF(LOOKUP(M20,PPTO!$J$8:$J$269,PPTO!H$8:H$269)=0," ",LOOKUP(M20,PPTO!$J$8:$J$269,PPTO!H$8:H$269))</f>
        <v xml:space="preserve"> </v>
      </c>
      <c r="G20" s="178">
        <v>15000</v>
      </c>
      <c r="H20" s="102" t="e">
        <f>ROUND(G20*E20,0)</f>
        <v>#VALUE!</v>
      </c>
      <c r="I20" s="174">
        <v>0</v>
      </c>
      <c r="J20" s="102" t="e">
        <f>ROUND(I20*E20,0)</f>
        <v>#VALUE!</v>
      </c>
      <c r="K20" s="102" t="e">
        <f>I20+#REF!</f>
        <v>#REF!</v>
      </c>
      <c r="L20" s="102" t="e">
        <f>ROUND(K20*E20,0)</f>
        <v>#REF!</v>
      </c>
      <c r="M20" s="108">
        <f t="shared" si="0"/>
        <v>4</v>
      </c>
    </row>
    <row r="21" spans="1:13">
      <c r="A21" s="87">
        <f>IF(LOOKUP(M21,PPTO!$J$8:$J$269,PPTO!A$8:A$269)=0," ",LOOKUP(M21,PPTO!$J$8:$J$269,PPTO!A$8:A$269))</f>
        <v>2</v>
      </c>
      <c r="B21" s="91" t="str">
        <f>IF(LOOKUP(M21,PPTO!$J$8:J$269,PPTO!B$8:B$269)=0," ",LOOKUP(M21,PPTO!$J$8:J$269,PPTO!B$8:B$269))</f>
        <v>DEMOLICION Y ROTURAS</v>
      </c>
      <c r="C21" s="89" t="str">
        <f>IF(LOOKUP(M21,PPTO!$J$8:$J$269,PPTO!D$8:D$269)=0," ",LOOKUP(M21,PPTO!$J$8:$J$269,PPTO!D$8:D$269))</f>
        <v xml:space="preserve"> </v>
      </c>
      <c r="D21" s="90" t="str">
        <f>IF(LOOKUP(M21,PPTO!$J$8:$J$269,PPTO!E$8:E$269)=0," ",LOOKUP(M21,PPTO!$J$8:$J$269,PPTO!E$8:E$269))</f>
        <v xml:space="preserve"> </v>
      </c>
      <c r="E21" s="90" t="str">
        <f>IF(LOOKUP(M21,PPTO!$J$8:$J$269,PPTO!F$8:F$269)=0," ",LOOKUP(M21,PPTO!$J$8:$J$269,PPTO!F$8:F$269))</f>
        <v xml:space="preserve"> </v>
      </c>
      <c r="F21" s="90" t="str">
        <f>IF(LOOKUP(M21,PPTO!$J$8:$J$269,PPTO!H$8:H$269)=0," ",LOOKUP(M21,PPTO!$J$8:$J$269,PPTO!H$8:H$269))</f>
        <v xml:space="preserve"> </v>
      </c>
      <c r="G21" s="178"/>
      <c r="H21" s="102"/>
      <c r="I21" s="174"/>
      <c r="J21" s="102"/>
      <c r="K21" s="102"/>
      <c r="L21" s="102"/>
      <c r="M21" s="108">
        <f t="shared" si="0"/>
        <v>5</v>
      </c>
    </row>
    <row r="22" spans="1:13">
      <c r="A22" s="87" t="str">
        <f>IF(LOOKUP(M22,PPTO!$J$8:$J$269,PPTO!A$8:A$269)=0," ",LOOKUP(M22,PPTO!$J$8:$J$269,PPTO!A$8:A$269))</f>
        <v>2.01</v>
      </c>
      <c r="B22" s="91" t="str">
        <f>IF(LOOKUP(M22,PPTO!$J$8:J$269,PPTO!B$8:B$269)=0," ",LOOKUP(M22,PPTO!$J$8:J$269,PPTO!B$8:B$269))</f>
        <v xml:space="preserve"> </v>
      </c>
      <c r="C22" s="89" t="str">
        <f>IF(LOOKUP(M22,PPTO!$J$8:$J$269,PPTO!D$8:D$269)=0," ",LOOKUP(M22,PPTO!$J$8:$J$269,PPTO!D$8:D$269))</f>
        <v>ML</v>
      </c>
      <c r="D22" s="90" t="str">
        <f>IF(LOOKUP(M22,PPTO!$J$8:$J$269,PPTO!E$8:E$269)=0," ",LOOKUP(M22,PPTO!$J$8:$J$269,PPTO!E$8:E$269))</f>
        <v xml:space="preserve"> </v>
      </c>
      <c r="E22" s="90" t="str">
        <f>IF(LOOKUP(M22,PPTO!$J$8:$J$269,PPTO!F$8:F$269)=0," ",LOOKUP(M22,PPTO!$J$8:$J$269,PPTO!F$8:F$269))</f>
        <v xml:space="preserve"> </v>
      </c>
      <c r="F22" s="90" t="str">
        <f>IF(LOOKUP(M22,PPTO!$J$8:$J$269,PPTO!H$8:H$269)=0," ",LOOKUP(M22,PPTO!$J$8:$J$269,PPTO!H$8:H$269))</f>
        <v xml:space="preserve"> </v>
      </c>
      <c r="G22" s="178">
        <v>14696</v>
      </c>
      <c r="H22" s="102" t="e">
        <f t="shared" ref="H22:H60" si="1">ROUND(G22*E22,0)</f>
        <v>#VALUE!</v>
      </c>
      <c r="I22" s="174">
        <v>0</v>
      </c>
      <c r="J22" s="102" t="e">
        <f t="shared" ref="J22:J60" si="2">ROUND(I22*E22,0)</f>
        <v>#VALUE!</v>
      </c>
      <c r="K22" s="102" t="e">
        <f>I22+#REF!</f>
        <v>#REF!</v>
      </c>
      <c r="L22" s="102" t="e">
        <f t="shared" ref="L22:L60" si="3">ROUND(K22*E22,0)</f>
        <v>#REF!</v>
      </c>
      <c r="M22" s="108">
        <f t="shared" si="0"/>
        <v>6</v>
      </c>
    </row>
    <row r="23" spans="1:13">
      <c r="A23" s="87" t="str">
        <f>IF(LOOKUP(M23,PPTO!$J$8:$J$269,PPTO!A$8:A$269)=0," ",LOOKUP(M23,PPTO!$J$8:$J$269,PPTO!A$8:A$269))</f>
        <v>2.02</v>
      </c>
      <c r="B23" s="91" t="str">
        <f>IF(LOOKUP(M23,PPTO!$J$8:J$269,PPTO!B$8:B$269)=0," ",LOOKUP(M23,PPTO!$J$8:J$269,PPTO!B$8:B$269))</f>
        <v xml:space="preserve"> </v>
      </c>
      <c r="C23" s="89" t="str">
        <f>IF(LOOKUP(M23,PPTO!$J$8:$J$269,PPTO!D$8:D$269)=0," ",LOOKUP(M23,PPTO!$J$8:$J$269,PPTO!D$8:D$269))</f>
        <v>M2</v>
      </c>
      <c r="D23" s="90" t="str">
        <f>IF(LOOKUP(M23,PPTO!$J$8:$J$269,PPTO!E$8:E$269)=0," ",LOOKUP(M23,PPTO!$J$8:$J$269,PPTO!E$8:E$269))</f>
        <v xml:space="preserve"> </v>
      </c>
      <c r="E23" s="90" t="str">
        <f>IF(LOOKUP(M23,PPTO!$J$8:$J$269,PPTO!F$8:F$269)=0," ",LOOKUP(M23,PPTO!$J$8:$J$269,PPTO!F$8:F$269))</f>
        <v xml:space="preserve"> </v>
      </c>
      <c r="F23" s="90" t="str">
        <f>IF(LOOKUP(M23,PPTO!$J$8:$J$269,PPTO!H$8:H$269)=0," ",LOOKUP(M23,PPTO!$J$8:$J$269,PPTO!H$8:H$269))</f>
        <v xml:space="preserve"> </v>
      </c>
      <c r="G23" s="178">
        <v>4134</v>
      </c>
      <c r="H23" s="102" t="e">
        <f t="shared" si="1"/>
        <v>#VALUE!</v>
      </c>
      <c r="I23" s="174">
        <v>0</v>
      </c>
      <c r="J23" s="102" t="e">
        <f t="shared" si="2"/>
        <v>#VALUE!</v>
      </c>
      <c r="K23" s="102" t="e">
        <f>I23+#REF!</f>
        <v>#REF!</v>
      </c>
      <c r="L23" s="102" t="e">
        <f t="shared" si="3"/>
        <v>#REF!</v>
      </c>
      <c r="M23" s="108">
        <f t="shared" si="0"/>
        <v>7</v>
      </c>
    </row>
    <row r="24" spans="1:13">
      <c r="A24" s="87" t="str">
        <f>IF(LOOKUP(M24,PPTO!$J$8:$J$269,PPTO!A$8:A$269)=0," ",LOOKUP(M24,PPTO!$J$8:$J$269,PPTO!A$8:A$269))</f>
        <v>2.03</v>
      </c>
      <c r="B24" s="91" t="str">
        <f>IF(LOOKUP(M24,PPTO!$J$8:J$269,PPTO!B$8:B$269)=0," ",LOOKUP(M24,PPTO!$J$8:J$269,PPTO!B$8:B$269))</f>
        <v xml:space="preserve"> </v>
      </c>
      <c r="C24" s="89" t="str">
        <f>IF(LOOKUP(M24,PPTO!$J$8:$J$269,PPTO!D$8:D$269)=0," ",LOOKUP(M24,PPTO!$J$8:$J$269,PPTO!D$8:D$269))</f>
        <v>M2</v>
      </c>
      <c r="D24" s="90" t="str">
        <f>IF(LOOKUP(M24,PPTO!$J$8:$J$269,PPTO!E$8:E$269)=0," ",LOOKUP(M24,PPTO!$J$8:$J$269,PPTO!E$8:E$269))</f>
        <v xml:space="preserve"> </v>
      </c>
      <c r="E24" s="90" t="str">
        <f>IF(LOOKUP(M24,PPTO!$J$8:$J$269,PPTO!F$8:F$269)=0," ",LOOKUP(M24,PPTO!$J$8:$J$269,PPTO!F$8:F$269))</f>
        <v xml:space="preserve"> </v>
      </c>
      <c r="F24" s="90" t="str">
        <f>IF(LOOKUP(M24,PPTO!$J$8:$J$269,PPTO!H$8:H$269)=0," ",LOOKUP(M24,PPTO!$J$8:$J$269,PPTO!H$8:H$269))</f>
        <v xml:space="preserve"> </v>
      </c>
      <c r="G24" s="178">
        <v>14696</v>
      </c>
      <c r="H24" s="102" t="e">
        <f t="shared" si="1"/>
        <v>#VALUE!</v>
      </c>
      <c r="I24" s="174">
        <v>0</v>
      </c>
      <c r="J24" s="102" t="e">
        <f t="shared" si="2"/>
        <v>#VALUE!</v>
      </c>
      <c r="K24" s="102" t="e">
        <f>I24+#REF!</f>
        <v>#REF!</v>
      </c>
      <c r="L24" s="102" t="e">
        <f t="shared" si="3"/>
        <v>#REF!</v>
      </c>
      <c r="M24" s="108">
        <f t="shared" si="0"/>
        <v>8</v>
      </c>
    </row>
    <row r="25" spans="1:13">
      <c r="A25" s="87" t="str">
        <f>IF(LOOKUP(M25,PPTO!$J$8:$J$269,PPTO!A$8:A$269)=0," ",LOOKUP(M25,PPTO!$J$8:$J$269,PPTO!A$8:A$269))</f>
        <v>2.04</v>
      </c>
      <c r="B25" s="91" t="str">
        <f>IF(LOOKUP(M25,PPTO!$J$8:J$269,PPTO!B$8:B$269)=0," ",LOOKUP(M25,PPTO!$J$8:J$269,PPTO!B$8:B$269))</f>
        <v xml:space="preserve"> </v>
      </c>
      <c r="C25" s="89" t="str">
        <f>IF(LOOKUP(M25,PPTO!$J$8:$J$269,PPTO!D$8:D$269)=0," ",LOOKUP(M25,PPTO!$J$8:$J$269,PPTO!D$8:D$269))</f>
        <v>UND</v>
      </c>
      <c r="D25" s="90" t="str">
        <f>IF(LOOKUP(M25,PPTO!$J$8:$J$269,PPTO!E$8:E$269)=0," ",LOOKUP(M25,PPTO!$J$8:$J$269,PPTO!E$8:E$269))</f>
        <v xml:space="preserve"> </v>
      </c>
      <c r="E25" s="90" t="str">
        <f>IF(LOOKUP(M25,PPTO!$J$8:$J$269,PPTO!F$8:F$269)=0," ",LOOKUP(M25,PPTO!$J$8:$J$269,PPTO!F$8:F$269))</f>
        <v xml:space="preserve"> </v>
      </c>
      <c r="F25" s="90" t="str">
        <f>IF(LOOKUP(M25,PPTO!$J$8:$J$269,PPTO!H$8:H$269)=0," ",LOOKUP(M25,PPTO!$J$8:$J$269,PPTO!H$8:H$269))</f>
        <v xml:space="preserve"> </v>
      </c>
      <c r="G25" s="178">
        <v>200</v>
      </c>
      <c r="H25" s="102" t="e">
        <f t="shared" si="1"/>
        <v>#VALUE!</v>
      </c>
      <c r="I25" s="174">
        <v>0</v>
      </c>
      <c r="J25" s="102" t="e">
        <f t="shared" si="2"/>
        <v>#VALUE!</v>
      </c>
      <c r="K25" s="102" t="e">
        <f>I25+#REF!</f>
        <v>#REF!</v>
      </c>
      <c r="L25" s="102" t="e">
        <f t="shared" si="3"/>
        <v>#REF!</v>
      </c>
      <c r="M25" s="108">
        <f t="shared" si="0"/>
        <v>9</v>
      </c>
    </row>
    <row r="26" spans="1:13">
      <c r="A26" s="87">
        <f>IF(LOOKUP(M26,PPTO!$J$8:$J$269,PPTO!A$8:A$269)=0," ",LOOKUP(M26,PPTO!$J$8:$J$269,PPTO!A$8:A$269))</f>
        <v>3</v>
      </c>
      <c r="B26" s="91" t="str">
        <f>IF(LOOKUP(M26,PPTO!$J$8:J$269,PPTO!B$8:B$269)=0," ",LOOKUP(M26,PPTO!$J$8:J$269,PPTO!B$8:B$269))</f>
        <v>MOVIMIENTOS DE TIERRA</v>
      </c>
      <c r="C26" s="89" t="str">
        <f>IF(LOOKUP(M26,PPTO!$J$8:$J$269,PPTO!D$8:D$269)=0," ",LOOKUP(M26,PPTO!$J$8:$J$269,PPTO!D$8:D$269))</f>
        <v xml:space="preserve"> </v>
      </c>
      <c r="D26" s="90" t="str">
        <f>IF(LOOKUP(M26,PPTO!$J$8:$J$269,PPTO!E$8:E$269)=0," ",LOOKUP(M26,PPTO!$J$8:$J$269,PPTO!E$8:E$269))</f>
        <v xml:space="preserve"> </v>
      </c>
      <c r="E26" s="90" t="str">
        <f>IF(LOOKUP(M26,PPTO!$J$8:$J$269,PPTO!F$8:F$269)=0," ",LOOKUP(M26,PPTO!$J$8:$J$269,PPTO!F$8:F$269))</f>
        <v xml:space="preserve"> </v>
      </c>
      <c r="F26" s="90" t="str">
        <f>IF(LOOKUP(M26,PPTO!$J$8:$J$269,PPTO!H$8:H$269)=0," ",LOOKUP(M26,PPTO!$J$8:$J$269,PPTO!H$8:H$269))</f>
        <v xml:space="preserve"> </v>
      </c>
      <c r="G26" s="178"/>
      <c r="H26" s="102"/>
      <c r="I26" s="174"/>
      <c r="J26" s="102"/>
      <c r="K26" s="102"/>
      <c r="L26" s="102"/>
      <c r="M26" s="108">
        <f t="shared" si="0"/>
        <v>10</v>
      </c>
    </row>
    <row r="27" spans="1:13">
      <c r="A27" s="87" t="str">
        <f>IF(LOOKUP(M27,PPTO!$J$8:$J$269,PPTO!A$8:A$269)=0," ",LOOKUP(M27,PPTO!$J$8:$J$269,PPTO!A$8:A$269))</f>
        <v>3.01</v>
      </c>
      <c r="B27" s="91" t="str">
        <f>IF(LOOKUP(M27,PPTO!$J$8:J$269,PPTO!B$8:B$269)=0," ",LOOKUP(M27,PPTO!$J$8:J$269,PPTO!B$8:B$269))</f>
        <v xml:space="preserve"> </v>
      </c>
      <c r="C27" s="89" t="str">
        <f>IF(LOOKUP(M27,PPTO!$J$8:$J$269,PPTO!D$8:D$269)=0," ",LOOKUP(M27,PPTO!$J$8:$J$269,PPTO!D$8:D$269))</f>
        <v>M3</v>
      </c>
      <c r="D27" s="90" t="str">
        <f>IF(LOOKUP(M27,PPTO!$J$8:$J$269,PPTO!E$8:E$269)=0," ",LOOKUP(M27,PPTO!$J$8:$J$269,PPTO!E$8:E$269))</f>
        <v xml:space="preserve"> </v>
      </c>
      <c r="E27" s="90" t="str">
        <f>IF(LOOKUP(M27,PPTO!$J$8:$J$269,PPTO!F$8:F$269)=0," ",LOOKUP(M27,PPTO!$J$8:$J$269,PPTO!F$8:F$269))</f>
        <v xml:space="preserve"> </v>
      </c>
      <c r="F27" s="90" t="str">
        <f>IF(LOOKUP(M27,PPTO!$J$8:$J$269,PPTO!H$8:H$269)=0," ",LOOKUP(M27,PPTO!$J$8:$J$269,PPTO!H$8:H$269))</f>
        <v xml:space="preserve"> </v>
      </c>
      <c r="G27" s="178">
        <v>243</v>
      </c>
      <c r="H27" s="102" t="e">
        <f t="shared" si="1"/>
        <v>#VALUE!</v>
      </c>
      <c r="I27" s="174">
        <v>0</v>
      </c>
      <c r="J27" s="102" t="e">
        <f t="shared" si="2"/>
        <v>#VALUE!</v>
      </c>
      <c r="K27" s="102" t="e">
        <f>I27+#REF!</f>
        <v>#REF!</v>
      </c>
      <c r="L27" s="102" t="e">
        <f t="shared" si="3"/>
        <v>#REF!</v>
      </c>
      <c r="M27" s="108">
        <f t="shared" si="0"/>
        <v>11</v>
      </c>
    </row>
    <row r="28" spans="1:13">
      <c r="A28" s="87" t="str">
        <f>IF(LOOKUP(M28,PPTO!$J$8:$J$269,PPTO!A$8:A$269)=0," ",LOOKUP(M28,PPTO!$J$8:$J$269,PPTO!A$8:A$269))</f>
        <v>3.02</v>
      </c>
      <c r="B28" s="91" t="str">
        <f>IF(LOOKUP(M28,PPTO!$J$8:J$269,PPTO!B$8:B$269)=0," ",LOOKUP(M28,PPTO!$J$8:J$269,PPTO!B$8:B$269))</f>
        <v xml:space="preserve"> </v>
      </c>
      <c r="C28" s="89" t="str">
        <f>IF(LOOKUP(M28,PPTO!$J$8:$J$269,PPTO!D$8:D$269)=0," ",LOOKUP(M28,PPTO!$J$8:$J$269,PPTO!D$8:D$269))</f>
        <v>M3</v>
      </c>
      <c r="D28" s="90" t="str">
        <f>IF(LOOKUP(M28,PPTO!$J$8:$J$269,PPTO!E$8:E$269)=0," ",LOOKUP(M28,PPTO!$J$8:$J$269,PPTO!E$8:E$269))</f>
        <v xml:space="preserve"> </v>
      </c>
      <c r="E28" s="90" t="str">
        <f>IF(LOOKUP(M28,PPTO!$J$8:$J$269,PPTO!F$8:F$269)=0," ",LOOKUP(M28,PPTO!$J$8:$J$269,PPTO!F$8:F$269))</f>
        <v xml:space="preserve"> </v>
      </c>
      <c r="F28" s="90" t="str">
        <f>IF(LOOKUP(M28,PPTO!$J$8:$J$269,PPTO!H$8:H$269)=0," ",LOOKUP(M28,PPTO!$J$8:$J$269,PPTO!H$8:H$269))</f>
        <v xml:space="preserve"> </v>
      </c>
      <c r="G28" s="178">
        <v>2018.33</v>
      </c>
      <c r="H28" s="102" t="e">
        <f t="shared" si="1"/>
        <v>#VALUE!</v>
      </c>
      <c r="I28" s="174">
        <v>0</v>
      </c>
      <c r="J28" s="102" t="e">
        <f t="shared" si="2"/>
        <v>#VALUE!</v>
      </c>
      <c r="K28" s="102" t="e">
        <f>I28+#REF!</f>
        <v>#REF!</v>
      </c>
      <c r="L28" s="102" t="e">
        <f t="shared" si="3"/>
        <v>#REF!</v>
      </c>
      <c r="M28" s="108">
        <f>M27+1</f>
        <v>12</v>
      </c>
    </row>
    <row r="29" spans="1:13">
      <c r="A29" s="87" t="str">
        <f>IF(LOOKUP(M29,PPTO!$J$8:$J$269,PPTO!A$8:A$269)=0," ",LOOKUP(M29,PPTO!$J$8:$J$269,PPTO!A$8:A$269))</f>
        <v>3.03</v>
      </c>
      <c r="B29" s="91" t="str">
        <f>IF(LOOKUP(M29,PPTO!$J$8:J$269,PPTO!B$8:B$269)=0," ",LOOKUP(M29,PPTO!$J$8:J$269,PPTO!B$8:B$269))</f>
        <v xml:space="preserve"> </v>
      </c>
      <c r="C29" s="89" t="str">
        <f>IF(LOOKUP(M29,PPTO!$J$8:$J$269,PPTO!D$8:D$269)=0," ",LOOKUP(M29,PPTO!$J$8:$J$269,PPTO!D$8:D$269))</f>
        <v>M3</v>
      </c>
      <c r="D29" s="90" t="str">
        <f>IF(LOOKUP(M29,PPTO!$J$8:$J$269,PPTO!E$8:E$269)=0," ",LOOKUP(M29,PPTO!$J$8:$J$269,PPTO!E$8:E$269))</f>
        <v xml:space="preserve"> </v>
      </c>
      <c r="E29" s="90" t="str">
        <f>IF(LOOKUP(M29,PPTO!$J$8:$J$269,PPTO!F$8:F$269)=0," ",LOOKUP(M29,PPTO!$J$8:$J$269,PPTO!F$8:F$269))</f>
        <v xml:space="preserve"> </v>
      </c>
      <c r="F29" s="90" t="str">
        <f>IF(LOOKUP(M29,PPTO!$J$8:$J$269,PPTO!H$8:H$269)=0," ",LOOKUP(M29,PPTO!$J$8:$J$269,PPTO!H$8:H$269))</f>
        <v xml:space="preserve"> </v>
      </c>
      <c r="G29" s="178">
        <v>1587.38</v>
      </c>
      <c r="H29" s="102" t="e">
        <f t="shared" si="1"/>
        <v>#VALUE!</v>
      </c>
      <c r="I29" s="174">
        <v>0</v>
      </c>
      <c r="J29" s="102" t="e">
        <f t="shared" si="2"/>
        <v>#VALUE!</v>
      </c>
      <c r="K29" s="102" t="e">
        <f>I29+#REF!</f>
        <v>#REF!</v>
      </c>
      <c r="L29" s="102" t="e">
        <f t="shared" si="3"/>
        <v>#REF!</v>
      </c>
      <c r="M29" s="108">
        <f>M28+1</f>
        <v>13</v>
      </c>
    </row>
    <row r="30" spans="1:13">
      <c r="A30" s="87" t="str">
        <f>IF(LOOKUP(M30,PPTO!$J$8:$J$269,PPTO!A$8:A$269)=0," ",LOOKUP(M30,PPTO!$J$8:$J$269,PPTO!A$8:A$269))</f>
        <v>3.04</v>
      </c>
      <c r="B30" s="91" t="str">
        <f>IF(LOOKUP(M30,PPTO!$J$8:J$269,PPTO!B$8:B$269)=0," ",LOOKUP(M30,PPTO!$J$8:J$269,PPTO!B$8:B$269))</f>
        <v xml:space="preserve"> </v>
      </c>
      <c r="C30" s="89" t="str">
        <f>IF(LOOKUP(M30,PPTO!$J$8:$J$269,PPTO!D$8:D$269)=0," ",LOOKUP(M30,PPTO!$J$8:$J$269,PPTO!D$8:D$269))</f>
        <v>M3</v>
      </c>
      <c r="D30" s="90" t="str">
        <f>IF(LOOKUP(M30,PPTO!$J$8:$J$269,PPTO!E$8:E$269)=0," ",LOOKUP(M30,PPTO!$J$8:$J$269,PPTO!E$8:E$269))</f>
        <v xml:space="preserve"> </v>
      </c>
      <c r="E30" s="90" t="str">
        <f>IF(LOOKUP(M30,PPTO!$J$8:$J$269,PPTO!F$8:F$269)=0," ",LOOKUP(M30,PPTO!$J$8:$J$269,PPTO!F$8:F$269))</f>
        <v xml:space="preserve"> </v>
      </c>
      <c r="F30" s="90" t="str">
        <f>IF(LOOKUP(M30,PPTO!$J$8:$J$269,PPTO!H$8:H$269)=0," ",LOOKUP(M30,PPTO!$J$8:$J$269,PPTO!H$8:H$269))</f>
        <v xml:space="preserve"> </v>
      </c>
      <c r="G30" s="178">
        <v>21041</v>
      </c>
      <c r="H30" s="102" t="e">
        <f t="shared" si="1"/>
        <v>#VALUE!</v>
      </c>
      <c r="I30" s="174">
        <v>0</v>
      </c>
      <c r="J30" s="102" t="e">
        <f t="shared" si="2"/>
        <v>#VALUE!</v>
      </c>
      <c r="K30" s="102" t="e">
        <f>I30+#REF!</f>
        <v>#REF!</v>
      </c>
      <c r="L30" s="102" t="e">
        <f t="shared" si="3"/>
        <v>#REF!</v>
      </c>
      <c r="M30" s="108">
        <f t="shared" si="0"/>
        <v>14</v>
      </c>
    </row>
    <row r="31" spans="1:13">
      <c r="A31" s="87" t="str">
        <f>IF(LOOKUP(M31,PPTO!$J$8:$J$269,PPTO!A$8:A$269)=0," ",LOOKUP(M31,PPTO!$J$8:$J$269,PPTO!A$8:A$269))</f>
        <v>3.05</v>
      </c>
      <c r="B31" s="91" t="str">
        <f>IF(LOOKUP(M31,PPTO!$J$8:J$269,PPTO!B$8:B$269)=0," ",LOOKUP(M31,PPTO!$J$8:J$269,PPTO!B$8:B$269))</f>
        <v xml:space="preserve"> </v>
      </c>
      <c r="C31" s="89" t="str">
        <f>IF(LOOKUP(M31,PPTO!$J$8:$J$269,PPTO!D$8:D$269)=0," ",LOOKUP(M31,PPTO!$J$8:$J$269,PPTO!D$8:D$269))</f>
        <v>M3</v>
      </c>
      <c r="D31" s="90" t="str">
        <f>IF(LOOKUP(M31,PPTO!$J$8:$J$269,PPTO!E$8:E$269)=0," ",LOOKUP(M31,PPTO!$J$8:$J$269,PPTO!E$8:E$269))</f>
        <v xml:space="preserve"> </v>
      </c>
      <c r="E31" s="90" t="str">
        <f>IF(LOOKUP(M31,PPTO!$J$8:$J$269,PPTO!F$8:F$269)=0," ",LOOKUP(M31,PPTO!$J$8:$J$269,PPTO!F$8:F$269))</f>
        <v xml:space="preserve"> </v>
      </c>
      <c r="F31" s="90" t="str">
        <f>IF(LOOKUP(M31,PPTO!$J$8:$J$269,PPTO!H$8:H$269)=0," ",LOOKUP(M31,PPTO!$J$8:$J$269,PPTO!H$8:H$269))</f>
        <v xml:space="preserve"> </v>
      </c>
      <c r="G31" s="178">
        <v>936.85</v>
      </c>
      <c r="H31" s="102" t="e">
        <f t="shared" si="1"/>
        <v>#VALUE!</v>
      </c>
      <c r="I31" s="174">
        <v>0</v>
      </c>
      <c r="J31" s="102" t="e">
        <f t="shared" si="2"/>
        <v>#VALUE!</v>
      </c>
      <c r="K31" s="102" t="e">
        <f>I31+#REF!</f>
        <v>#REF!</v>
      </c>
      <c r="L31" s="102" t="e">
        <f t="shared" si="3"/>
        <v>#REF!</v>
      </c>
      <c r="M31" s="108">
        <f t="shared" si="0"/>
        <v>15</v>
      </c>
    </row>
    <row r="32" spans="1:13">
      <c r="A32" s="87" t="str">
        <f>IF(LOOKUP(M32,PPTO!$J$8:$J$269,PPTO!A$8:A$269)=0," ",LOOKUP(M32,PPTO!$J$8:$J$269,PPTO!A$8:A$269))</f>
        <v>3.06</v>
      </c>
      <c r="B32" s="91" t="str">
        <f>IF(LOOKUP(M32,PPTO!$J$8:J$269,PPTO!B$8:B$269)=0," ",LOOKUP(M32,PPTO!$J$8:J$269,PPTO!B$8:B$269))</f>
        <v xml:space="preserve"> </v>
      </c>
      <c r="C32" s="89" t="str">
        <f>IF(LOOKUP(M32,PPTO!$J$8:$J$269,PPTO!D$8:D$269)=0," ",LOOKUP(M32,PPTO!$J$8:$J$269,PPTO!D$8:D$269))</f>
        <v>M3</v>
      </c>
      <c r="D32" s="90" t="str">
        <f>IF(LOOKUP(M32,PPTO!$J$8:$J$269,PPTO!E$8:E$269)=0," ",LOOKUP(M32,PPTO!$J$8:$J$269,PPTO!E$8:E$269))</f>
        <v xml:space="preserve"> </v>
      </c>
      <c r="E32" s="90" t="str">
        <f>IF(LOOKUP(M32,PPTO!$J$8:$J$269,PPTO!F$8:F$269)=0," ",LOOKUP(M32,PPTO!$J$8:$J$269,PPTO!F$8:F$269))</f>
        <v xml:space="preserve"> </v>
      </c>
      <c r="F32" s="90" t="str">
        <f>IF(LOOKUP(M32,PPTO!$J$8:$J$269,PPTO!H$8:H$269)=0," ",LOOKUP(M32,PPTO!$J$8:$J$269,PPTO!H$8:H$269))</f>
        <v xml:space="preserve"> </v>
      </c>
      <c r="G32" s="178">
        <v>2018.33</v>
      </c>
      <c r="H32" s="102" t="e">
        <f t="shared" si="1"/>
        <v>#VALUE!</v>
      </c>
      <c r="I32" s="174">
        <v>0</v>
      </c>
      <c r="J32" s="102" t="e">
        <f t="shared" si="2"/>
        <v>#VALUE!</v>
      </c>
      <c r="K32" s="102" t="e">
        <f>I32+#REF!</f>
        <v>#REF!</v>
      </c>
      <c r="L32" s="102" t="e">
        <f t="shared" si="3"/>
        <v>#REF!</v>
      </c>
      <c r="M32" s="108">
        <f t="shared" si="0"/>
        <v>16</v>
      </c>
    </row>
    <row r="33" spans="1:13">
      <c r="A33" s="87" t="str">
        <f>IF(LOOKUP(M33,PPTO!$J$8:$J$269,PPTO!A$8:A$269)=0," ",LOOKUP(M33,PPTO!$J$8:$J$269,PPTO!A$8:A$269))</f>
        <v>3.07</v>
      </c>
      <c r="B33" s="91" t="str">
        <f>IF(LOOKUP(M33,PPTO!$J$8:J$269,PPTO!B$8:B$269)=0," ",LOOKUP(M33,PPTO!$J$8:J$269,PPTO!B$8:B$269))</f>
        <v xml:space="preserve"> </v>
      </c>
      <c r="C33" s="89" t="str">
        <f>IF(LOOKUP(M33,PPTO!$J$8:$J$269,PPTO!D$8:D$269)=0," ",LOOKUP(M33,PPTO!$J$8:$J$269,PPTO!D$8:D$269))</f>
        <v>M3</v>
      </c>
      <c r="D33" s="90" t="str">
        <f>IF(LOOKUP(M33,PPTO!$J$8:$J$269,PPTO!E$8:E$269)=0," ",LOOKUP(M33,PPTO!$J$8:$J$269,PPTO!E$8:E$269))</f>
        <v xml:space="preserve"> </v>
      </c>
      <c r="E33" s="90" t="str">
        <f>IF(LOOKUP(M33,PPTO!$J$8:$J$269,PPTO!F$8:F$269)=0," ",LOOKUP(M33,PPTO!$J$8:$J$269,PPTO!F$8:F$269))</f>
        <v xml:space="preserve"> </v>
      </c>
      <c r="F33" s="90" t="str">
        <f>IF(LOOKUP(M33,PPTO!$J$8:$J$269,PPTO!H$8:H$269)=0," ",LOOKUP(M33,PPTO!$J$8:$J$269,PPTO!H$8:H$269))</f>
        <v xml:space="preserve"> </v>
      </c>
      <c r="G33" s="178">
        <v>1587.38</v>
      </c>
      <c r="H33" s="102" t="e">
        <f t="shared" si="1"/>
        <v>#VALUE!</v>
      </c>
      <c r="I33" s="174">
        <v>0</v>
      </c>
      <c r="J33" s="102" t="e">
        <f t="shared" si="2"/>
        <v>#VALUE!</v>
      </c>
      <c r="K33" s="102" t="e">
        <f>I33+#REF!</f>
        <v>#REF!</v>
      </c>
      <c r="L33" s="102" t="e">
        <f t="shared" si="3"/>
        <v>#REF!</v>
      </c>
      <c r="M33" s="108">
        <f t="shared" si="0"/>
        <v>17</v>
      </c>
    </row>
    <row r="34" spans="1:13">
      <c r="A34" s="87" t="str">
        <f>IF(LOOKUP(M34,PPTO!$J$8:$J$269,PPTO!A$8:A$269)=0," ",LOOKUP(M34,PPTO!$J$8:$J$269,PPTO!A$8:A$269))</f>
        <v>3.08</v>
      </c>
      <c r="B34" s="91" t="str">
        <f>IF(LOOKUP(M34,PPTO!$J$8:J$269,PPTO!B$8:B$269)=0," ",LOOKUP(M34,PPTO!$J$8:J$269,PPTO!B$8:B$269))</f>
        <v xml:space="preserve"> </v>
      </c>
      <c r="C34" s="89" t="str">
        <f>IF(LOOKUP(M34,PPTO!$J$8:$J$269,PPTO!D$8:D$269)=0," ",LOOKUP(M34,PPTO!$J$8:$J$269,PPTO!D$8:D$269))</f>
        <v>M2</v>
      </c>
      <c r="D34" s="90" t="str">
        <f>IF(LOOKUP(M34,PPTO!$J$8:$J$269,PPTO!E$8:E$269)=0," ",LOOKUP(M34,PPTO!$J$8:$J$269,PPTO!E$8:E$269))</f>
        <v xml:space="preserve"> </v>
      </c>
      <c r="E34" s="90" t="str">
        <f>IF(LOOKUP(M34,PPTO!$J$8:$J$269,PPTO!F$8:F$269)=0," ",LOOKUP(M34,PPTO!$J$8:$J$269,PPTO!F$8:F$269))</f>
        <v xml:space="preserve"> </v>
      </c>
      <c r="F34" s="90" t="str">
        <f>IF(LOOKUP(M34,PPTO!$J$8:$J$269,PPTO!H$8:H$269)=0," ",LOOKUP(M34,PPTO!$J$8:$J$269,PPTO!H$8:H$269))</f>
        <v xml:space="preserve"> </v>
      </c>
      <c r="G34" s="178">
        <v>10500</v>
      </c>
      <c r="H34" s="102" t="e">
        <f t="shared" si="1"/>
        <v>#VALUE!</v>
      </c>
      <c r="I34" s="174">
        <v>0</v>
      </c>
      <c r="J34" s="102" t="e">
        <f t="shared" si="2"/>
        <v>#VALUE!</v>
      </c>
      <c r="K34" s="102" t="e">
        <f>I34+#REF!</f>
        <v>#REF!</v>
      </c>
      <c r="L34" s="102" t="e">
        <f t="shared" si="3"/>
        <v>#REF!</v>
      </c>
      <c r="M34" s="108">
        <f t="shared" si="0"/>
        <v>18</v>
      </c>
    </row>
    <row r="35" spans="1:13">
      <c r="A35" s="87" t="str">
        <f>IF(LOOKUP(M35,PPTO!$J$8:$J$269,PPTO!A$8:A$269)=0," ",LOOKUP(M35,PPTO!$J$8:$J$269,PPTO!A$8:A$269))</f>
        <v>3.09</v>
      </c>
      <c r="B35" s="91" t="str">
        <f>IF(LOOKUP(M35,PPTO!$J$8:J$269,PPTO!B$8:B$269)=0," ",LOOKUP(M35,PPTO!$J$8:J$269,PPTO!B$8:B$269))</f>
        <v xml:space="preserve"> </v>
      </c>
      <c r="C35" s="89" t="str">
        <f>IF(LOOKUP(M35,PPTO!$J$8:$J$269,PPTO!D$8:D$269)=0," ",LOOKUP(M35,PPTO!$J$8:$J$269,PPTO!D$8:D$269))</f>
        <v>UND</v>
      </c>
      <c r="D35" s="90" t="str">
        <f>IF(LOOKUP(M35,PPTO!$J$8:$J$269,PPTO!E$8:E$269)=0," ",LOOKUP(M35,PPTO!$J$8:$J$269,PPTO!E$8:E$269))</f>
        <v xml:space="preserve"> </v>
      </c>
      <c r="E35" s="90" t="str">
        <f>IF(LOOKUP(M35,PPTO!$J$8:$J$269,PPTO!F$8:F$269)=0," ",LOOKUP(M35,PPTO!$J$8:$J$269,PPTO!F$8:F$269))</f>
        <v xml:space="preserve"> </v>
      </c>
      <c r="F35" s="90" t="str">
        <f>IF(LOOKUP(M35,PPTO!$J$8:$J$269,PPTO!H$8:H$269)=0," ",LOOKUP(M35,PPTO!$J$8:$J$269,PPTO!H$8:H$269))</f>
        <v xml:space="preserve"> </v>
      </c>
      <c r="G35" s="178">
        <v>936.85</v>
      </c>
      <c r="H35" s="102" t="e">
        <f t="shared" si="1"/>
        <v>#VALUE!</v>
      </c>
      <c r="I35" s="174">
        <v>0</v>
      </c>
      <c r="J35" s="102" t="e">
        <f t="shared" si="2"/>
        <v>#VALUE!</v>
      </c>
      <c r="K35" s="102" t="e">
        <f>I35+#REF!</f>
        <v>#REF!</v>
      </c>
      <c r="L35" s="102" t="e">
        <f t="shared" si="3"/>
        <v>#REF!</v>
      </c>
      <c r="M35" s="108">
        <f t="shared" si="0"/>
        <v>19</v>
      </c>
    </row>
    <row r="36" spans="1:13">
      <c r="A36" s="87" t="str">
        <f>IF(LOOKUP(M36,PPTO!$J$8:$J$269,PPTO!A$8:A$269)=0," ",LOOKUP(M36,PPTO!$J$8:$J$269,PPTO!A$8:A$269))</f>
        <v>3.10</v>
      </c>
      <c r="B36" s="91" t="str">
        <f>IF(LOOKUP(M36,PPTO!$J$8:J$269,PPTO!B$8:B$269)=0," ",LOOKUP(M36,PPTO!$J$8:J$269,PPTO!B$8:B$269))</f>
        <v xml:space="preserve"> </v>
      </c>
      <c r="C36" s="89" t="str">
        <f>IF(LOOKUP(M36,PPTO!$J$8:$J$269,PPTO!D$8:D$269)=0," ",LOOKUP(M36,PPTO!$J$8:$J$269,PPTO!D$8:D$269))</f>
        <v>M3</v>
      </c>
      <c r="D36" s="90" t="str">
        <f>IF(LOOKUP(M36,PPTO!$J$8:$J$269,PPTO!E$8:E$269)=0," ",LOOKUP(M36,PPTO!$J$8:$J$269,PPTO!E$8:E$269))</f>
        <v xml:space="preserve"> </v>
      </c>
      <c r="E36" s="90" t="str">
        <f>IF(LOOKUP(M36,PPTO!$J$8:$J$269,PPTO!F$8:F$269)=0," ",LOOKUP(M36,PPTO!$J$8:$J$269,PPTO!F$8:F$269))</f>
        <v xml:space="preserve"> </v>
      </c>
      <c r="F36" s="90" t="str">
        <f>IF(LOOKUP(M36,PPTO!$J$8:$J$269,PPTO!H$8:H$269)=0," ",LOOKUP(M36,PPTO!$J$8:$J$269,PPTO!H$8:H$269))</f>
        <v xml:space="preserve"> </v>
      </c>
      <c r="G36" s="178">
        <v>2018.33</v>
      </c>
      <c r="H36" s="102" t="e">
        <f t="shared" si="1"/>
        <v>#VALUE!</v>
      </c>
      <c r="I36" s="174">
        <v>0.33</v>
      </c>
      <c r="J36" s="102" t="e">
        <f t="shared" si="2"/>
        <v>#VALUE!</v>
      </c>
      <c r="K36" s="102" t="e">
        <f>I36+#REF!</f>
        <v>#REF!</v>
      </c>
      <c r="L36" s="102" t="e">
        <f t="shared" si="3"/>
        <v>#REF!</v>
      </c>
      <c r="M36" s="108">
        <f t="shared" si="0"/>
        <v>20</v>
      </c>
    </row>
    <row r="37" spans="1:13">
      <c r="A37" s="87" t="str">
        <f>IF(LOOKUP(M37,PPTO!$J$8:$J$269,PPTO!A$8:A$269)=0," ",LOOKUP(M37,PPTO!$J$8:$J$269,PPTO!A$8:A$269))</f>
        <v>3.11</v>
      </c>
      <c r="B37" s="91" t="str">
        <f>IF(LOOKUP(M37,PPTO!$J$8:J$269,PPTO!B$8:B$269)=0," ",LOOKUP(M37,PPTO!$J$8:J$269,PPTO!B$8:B$269))</f>
        <v xml:space="preserve"> </v>
      </c>
      <c r="C37" s="89" t="str">
        <f>IF(LOOKUP(M37,PPTO!$J$8:$J$269,PPTO!D$8:D$269)=0," ",LOOKUP(M37,PPTO!$J$8:$J$269,PPTO!D$8:D$269))</f>
        <v>M3</v>
      </c>
      <c r="D37" s="90" t="str">
        <f>IF(LOOKUP(M37,PPTO!$J$8:$J$269,PPTO!E$8:E$269)=0," ",LOOKUP(M37,PPTO!$J$8:$J$269,PPTO!E$8:E$269))</f>
        <v xml:space="preserve"> </v>
      </c>
      <c r="E37" s="90" t="str">
        <f>IF(LOOKUP(M37,PPTO!$J$8:$J$269,PPTO!F$8:F$269)=0," ",LOOKUP(M37,PPTO!$J$8:$J$269,PPTO!F$8:F$269))</f>
        <v xml:space="preserve"> </v>
      </c>
      <c r="F37" s="90" t="str">
        <f>IF(LOOKUP(M37,PPTO!$J$8:$J$269,PPTO!H$8:H$269)=0," ",LOOKUP(M37,PPTO!$J$8:$J$269,PPTO!H$8:H$269))</f>
        <v xml:space="preserve"> </v>
      </c>
      <c r="G37" s="178">
        <v>18000</v>
      </c>
      <c r="H37" s="102" t="e">
        <f t="shared" si="1"/>
        <v>#VALUE!</v>
      </c>
      <c r="I37" s="174">
        <v>0</v>
      </c>
      <c r="J37" s="102" t="e">
        <f t="shared" si="2"/>
        <v>#VALUE!</v>
      </c>
      <c r="K37" s="102" t="e">
        <f>I37+#REF!</f>
        <v>#REF!</v>
      </c>
      <c r="L37" s="102" t="e">
        <f t="shared" si="3"/>
        <v>#REF!</v>
      </c>
      <c r="M37" s="108">
        <f t="shared" si="0"/>
        <v>21</v>
      </c>
    </row>
    <row r="38" spans="1:13">
      <c r="A38" s="87" t="str">
        <f>IF(LOOKUP(M38,PPTO!$J$8:$J$269,PPTO!A$8:A$269)=0," ",LOOKUP(M38,PPTO!$J$8:$J$269,PPTO!A$8:A$269))</f>
        <v>3.12</v>
      </c>
      <c r="B38" s="91" t="str">
        <f>IF(LOOKUP(M38,PPTO!$J$8:J$269,PPTO!B$8:B$269)=0," ",LOOKUP(M38,PPTO!$J$8:J$269,PPTO!B$8:B$269))</f>
        <v xml:space="preserve"> </v>
      </c>
      <c r="C38" s="89" t="str">
        <f>IF(LOOKUP(M38,PPTO!$J$8:$J$269,PPTO!D$8:D$269)=0," ",LOOKUP(M38,PPTO!$J$8:$J$269,PPTO!D$8:D$269))</f>
        <v>M3</v>
      </c>
      <c r="D38" s="90" t="str">
        <f>IF(LOOKUP(M38,PPTO!$J$8:$J$269,PPTO!E$8:E$269)=0," ",LOOKUP(M38,PPTO!$J$8:$J$269,PPTO!E$8:E$269))</f>
        <v xml:space="preserve"> </v>
      </c>
      <c r="E38" s="90" t="str">
        <f>IF(LOOKUP(M38,PPTO!$J$8:$J$269,PPTO!F$8:F$269)=0," ",LOOKUP(M38,PPTO!$J$8:$J$269,PPTO!F$8:F$269))</f>
        <v xml:space="preserve"> </v>
      </c>
      <c r="F38" s="90" t="str">
        <f>IF(LOOKUP(M38,PPTO!$J$8:$J$269,PPTO!H$8:H$269)=0," ",LOOKUP(M38,PPTO!$J$8:$J$269,PPTO!H$8:H$269))</f>
        <v xml:space="preserve"> </v>
      </c>
      <c r="G38" s="178">
        <v>3173.33</v>
      </c>
      <c r="H38" s="102" t="e">
        <f t="shared" si="1"/>
        <v>#VALUE!</v>
      </c>
      <c r="I38" s="174">
        <v>0</v>
      </c>
      <c r="J38" s="102" t="e">
        <f t="shared" si="2"/>
        <v>#VALUE!</v>
      </c>
      <c r="K38" s="102" t="e">
        <f>I38+#REF!</f>
        <v>#REF!</v>
      </c>
      <c r="L38" s="102" t="e">
        <f t="shared" si="3"/>
        <v>#REF!</v>
      </c>
      <c r="M38" s="108">
        <f t="shared" si="0"/>
        <v>22</v>
      </c>
    </row>
    <row r="39" spans="1:13">
      <c r="A39" s="87">
        <f>IF(LOOKUP(M39,PPTO!$J$8:$J$269,PPTO!A$8:A$269)=0," ",LOOKUP(M39,PPTO!$J$8:$J$269,PPTO!A$8:A$269))</f>
        <v>4</v>
      </c>
      <c r="B39" s="91" t="str">
        <f>IF(LOOKUP(M39,PPTO!$J$8:J$269,PPTO!B$8:B$269)=0," ",LOOKUP(M39,PPTO!$J$8:J$269,PPTO!B$8:B$269))</f>
        <v>TUBERIA DE ALCANTARILLADO</v>
      </c>
      <c r="C39" s="89" t="str">
        <f>IF(LOOKUP(M39,PPTO!$J$8:$J$269,PPTO!D$8:D$269)=0," ",LOOKUP(M39,PPTO!$J$8:$J$269,PPTO!D$8:D$269))</f>
        <v xml:space="preserve"> </v>
      </c>
      <c r="D39" s="90" t="str">
        <f>IF(LOOKUP(M39,PPTO!$J$8:$J$269,PPTO!E$8:E$269)=0," ",LOOKUP(M39,PPTO!$J$8:$J$269,PPTO!E$8:E$269))</f>
        <v xml:space="preserve"> </v>
      </c>
      <c r="E39" s="90" t="str">
        <f>IF(LOOKUP(M39,PPTO!$J$8:$J$269,PPTO!F$8:F$269)=0," ",LOOKUP(M39,PPTO!$J$8:$J$269,PPTO!F$8:F$269))</f>
        <v xml:space="preserve"> </v>
      </c>
      <c r="F39" s="90" t="str">
        <f>IF(LOOKUP(M39,PPTO!$J$8:$J$269,PPTO!H$8:H$269)=0," ",LOOKUP(M39,PPTO!$J$8:$J$269,PPTO!H$8:H$269))</f>
        <v xml:space="preserve"> </v>
      </c>
      <c r="G39" s="178"/>
      <c r="H39" s="102"/>
      <c r="I39" s="174"/>
      <c r="J39" s="102"/>
      <c r="K39" s="102"/>
      <c r="L39" s="102"/>
      <c r="M39" s="108">
        <f t="shared" si="0"/>
        <v>23</v>
      </c>
    </row>
    <row r="40" spans="1:13">
      <c r="A40" s="87" t="str">
        <f>IF(LOOKUP(M40,PPTO!$J$8:$J$269,PPTO!A$8:A$269)=0," ",LOOKUP(M40,PPTO!$J$8:$J$269,PPTO!A$8:A$269))</f>
        <v>4.01</v>
      </c>
      <c r="B40" s="91" t="str">
        <f>IF(LOOKUP(M40,PPTO!$J$8:J$269,PPTO!B$8:B$269)=0," ",LOOKUP(M40,PPTO!$J$8:J$269,PPTO!B$8:B$269))</f>
        <v xml:space="preserve"> </v>
      </c>
      <c r="C40" s="89" t="str">
        <f>IF(LOOKUP(M40,PPTO!$J$8:$J$269,PPTO!D$8:D$269)=0," ",LOOKUP(M40,PPTO!$J$8:$J$269,PPTO!D$8:D$269))</f>
        <v>ML</v>
      </c>
      <c r="D40" s="90" t="str">
        <f>IF(LOOKUP(M40,PPTO!$J$8:$J$269,PPTO!E$8:E$269)=0," ",LOOKUP(M40,PPTO!$J$8:$J$269,PPTO!E$8:E$269))</f>
        <v xml:space="preserve"> </v>
      </c>
      <c r="E40" s="90" t="str">
        <f>IF(LOOKUP(M40,PPTO!$J$8:$J$269,PPTO!F$8:F$269)=0," ",LOOKUP(M40,PPTO!$J$8:$J$269,PPTO!F$8:F$269))</f>
        <v xml:space="preserve"> </v>
      </c>
      <c r="F40" s="90" t="str">
        <f>IF(LOOKUP(M40,PPTO!$J$8:$J$269,PPTO!H$8:H$269)=0," ",LOOKUP(M40,PPTO!$J$8:$J$269,PPTO!H$8:H$269))</f>
        <v xml:space="preserve"> </v>
      </c>
      <c r="G40" s="178">
        <v>7554</v>
      </c>
      <c r="H40" s="102" t="e">
        <f t="shared" si="1"/>
        <v>#VALUE!</v>
      </c>
      <c r="I40" s="174">
        <v>0</v>
      </c>
      <c r="J40" s="102" t="e">
        <f t="shared" si="2"/>
        <v>#VALUE!</v>
      </c>
      <c r="K40" s="102" t="e">
        <f>I40+#REF!</f>
        <v>#REF!</v>
      </c>
      <c r="L40" s="102" t="e">
        <f t="shared" si="3"/>
        <v>#REF!</v>
      </c>
      <c r="M40" s="108">
        <f t="shared" si="0"/>
        <v>24</v>
      </c>
    </row>
    <row r="41" spans="1:13">
      <c r="A41" s="87" t="str">
        <f>IF(LOOKUP(M41,PPTO!$J$8:$J$269,PPTO!A$8:A$269)=0," ",LOOKUP(M41,PPTO!$J$8:$J$269,PPTO!A$8:A$269))</f>
        <v>4.02</v>
      </c>
      <c r="B41" s="91" t="str">
        <f>IF(LOOKUP(M41,PPTO!$J$8:J$269,PPTO!B$8:B$269)=0," ",LOOKUP(M41,PPTO!$J$8:J$269,PPTO!B$8:B$269))</f>
        <v xml:space="preserve"> </v>
      </c>
      <c r="C41" s="89" t="str">
        <f>IF(LOOKUP(M41,PPTO!$J$8:$J$269,PPTO!D$8:D$269)=0," ",LOOKUP(M41,PPTO!$J$8:$J$269,PPTO!D$8:D$269))</f>
        <v>ML</v>
      </c>
      <c r="D41" s="90" t="str">
        <f>IF(LOOKUP(M41,PPTO!$J$8:$J$269,PPTO!E$8:E$269)=0," ",LOOKUP(M41,PPTO!$J$8:$J$269,PPTO!E$8:E$269))</f>
        <v xml:space="preserve"> </v>
      </c>
      <c r="E41" s="90" t="str">
        <f>IF(LOOKUP(M41,PPTO!$J$8:$J$269,PPTO!F$8:F$269)=0," ",LOOKUP(M41,PPTO!$J$8:$J$269,PPTO!F$8:F$269))</f>
        <v xml:space="preserve"> </v>
      </c>
      <c r="F41" s="90" t="str">
        <f>IF(LOOKUP(M41,PPTO!$J$8:$J$269,PPTO!H$8:H$269)=0," ",LOOKUP(M41,PPTO!$J$8:$J$269,PPTO!H$8:H$269))</f>
        <v xml:space="preserve"> </v>
      </c>
      <c r="G41" s="178">
        <v>10629.07</v>
      </c>
      <c r="H41" s="102" t="e">
        <f t="shared" si="1"/>
        <v>#VALUE!</v>
      </c>
      <c r="I41" s="174">
        <v>0</v>
      </c>
      <c r="J41" s="102" t="e">
        <f t="shared" si="2"/>
        <v>#VALUE!</v>
      </c>
      <c r="K41" s="102" t="e">
        <f>I41+#REF!</f>
        <v>#REF!</v>
      </c>
      <c r="L41" s="102" t="e">
        <f t="shared" si="3"/>
        <v>#REF!</v>
      </c>
      <c r="M41" s="108">
        <f t="shared" si="0"/>
        <v>25</v>
      </c>
    </row>
    <row r="42" spans="1:13">
      <c r="A42" s="87" t="str">
        <f>IF(LOOKUP(M42,PPTO!$J$8:$J$269,PPTO!A$8:A$269)=0," ",LOOKUP(M42,PPTO!$J$8:$J$269,PPTO!A$8:A$269))</f>
        <v>4.03</v>
      </c>
      <c r="B42" s="91" t="str">
        <f>IF(LOOKUP(M42,PPTO!$J$8:J$269,PPTO!B$8:B$269)=0," ",LOOKUP(M42,PPTO!$J$8:J$269,PPTO!B$8:B$269))</f>
        <v xml:space="preserve"> </v>
      </c>
      <c r="C42" s="89" t="str">
        <f>IF(LOOKUP(M42,PPTO!$J$8:$J$269,PPTO!D$8:D$269)=0," ",LOOKUP(M42,PPTO!$J$8:$J$269,PPTO!D$8:D$269))</f>
        <v>ML</v>
      </c>
      <c r="D42" s="90" t="str">
        <f>IF(LOOKUP(M42,PPTO!$J$8:$J$269,PPTO!E$8:E$269)=0," ",LOOKUP(M42,PPTO!$J$8:$J$269,PPTO!E$8:E$269))</f>
        <v xml:space="preserve"> </v>
      </c>
      <c r="E42" s="90" t="str">
        <f>IF(LOOKUP(M42,PPTO!$J$8:$J$269,PPTO!F$8:F$269)=0," ",LOOKUP(M42,PPTO!$J$8:$J$269,PPTO!F$8:F$269))</f>
        <v xml:space="preserve"> </v>
      </c>
      <c r="F42" s="90" t="str">
        <f>IF(LOOKUP(M42,PPTO!$J$8:$J$269,PPTO!H$8:H$269)=0," ",LOOKUP(M42,PPTO!$J$8:$J$269,PPTO!H$8:H$269))</f>
        <v xml:space="preserve"> </v>
      </c>
      <c r="G42" s="178">
        <v>119.02</v>
      </c>
      <c r="H42" s="102" t="e">
        <f t="shared" si="1"/>
        <v>#VALUE!</v>
      </c>
      <c r="I42" s="174">
        <v>0</v>
      </c>
      <c r="J42" s="102" t="e">
        <f t="shared" si="2"/>
        <v>#VALUE!</v>
      </c>
      <c r="K42" s="102" t="e">
        <f>I42+#REF!</f>
        <v>#REF!</v>
      </c>
      <c r="L42" s="102" t="e">
        <f t="shared" si="3"/>
        <v>#REF!</v>
      </c>
      <c r="M42" s="108">
        <f t="shared" si="0"/>
        <v>26</v>
      </c>
    </row>
    <row r="43" spans="1:13">
      <c r="A43" s="87" t="str">
        <f>IF(LOOKUP(M43,PPTO!$J$8:$J$269,PPTO!A$8:A$269)=0," ",LOOKUP(M43,PPTO!$J$8:$J$269,PPTO!A$8:A$269))</f>
        <v>4.04</v>
      </c>
      <c r="B43" s="91" t="str">
        <f>IF(LOOKUP(M43,PPTO!$J$8:J$269,PPTO!B$8:B$269)=0," ",LOOKUP(M43,PPTO!$J$8:J$269,PPTO!B$8:B$269))</f>
        <v xml:space="preserve"> </v>
      </c>
      <c r="C43" s="89" t="str">
        <f>IF(LOOKUP(M43,PPTO!$J$8:$J$269,PPTO!D$8:D$269)=0," ",LOOKUP(M43,PPTO!$J$8:$J$269,PPTO!D$8:D$269))</f>
        <v>ML</v>
      </c>
      <c r="D43" s="90" t="str">
        <f>IF(LOOKUP(M43,PPTO!$J$8:$J$269,PPTO!E$8:E$269)=0," ",LOOKUP(M43,PPTO!$J$8:$J$269,PPTO!E$8:E$269))</f>
        <v xml:space="preserve"> </v>
      </c>
      <c r="E43" s="90" t="str">
        <f>IF(LOOKUP(M43,PPTO!$J$8:$J$269,PPTO!F$8:F$269)=0," ",LOOKUP(M43,PPTO!$J$8:$J$269,PPTO!F$8:F$269))</f>
        <v xml:space="preserve"> </v>
      </c>
      <c r="F43" s="90" t="str">
        <f>IF(LOOKUP(M43,PPTO!$J$8:$J$269,PPTO!H$8:H$269)=0," ",LOOKUP(M43,PPTO!$J$8:$J$269,PPTO!H$8:H$269))</f>
        <v xml:space="preserve"> </v>
      </c>
      <c r="G43" s="178">
        <v>293.73</v>
      </c>
      <c r="H43" s="102" t="e">
        <f t="shared" si="1"/>
        <v>#VALUE!</v>
      </c>
      <c r="I43" s="174">
        <v>0</v>
      </c>
      <c r="J43" s="102" t="e">
        <f t="shared" si="2"/>
        <v>#VALUE!</v>
      </c>
      <c r="K43" s="102" t="e">
        <f>I43+#REF!</f>
        <v>#REF!</v>
      </c>
      <c r="L43" s="102" t="e">
        <f t="shared" si="3"/>
        <v>#REF!</v>
      </c>
      <c r="M43" s="108">
        <f t="shared" si="0"/>
        <v>27</v>
      </c>
    </row>
    <row r="44" spans="1:13">
      <c r="A44" s="87" t="str">
        <f>IF(LOOKUP(M44,PPTO!$J$8:$J$269,PPTO!A$8:A$269)=0," ",LOOKUP(M44,PPTO!$J$8:$J$269,PPTO!A$8:A$269))</f>
        <v>4.05</v>
      </c>
      <c r="B44" s="91" t="str">
        <f>IF(LOOKUP(M44,PPTO!$J$8:J$269,PPTO!B$8:B$269)=0," ",LOOKUP(M44,PPTO!$J$8:J$269,PPTO!B$8:B$269))</f>
        <v xml:space="preserve"> </v>
      </c>
      <c r="C44" s="89" t="str">
        <f>IF(LOOKUP(M44,PPTO!$J$8:$J$269,PPTO!D$8:D$269)=0," ",LOOKUP(M44,PPTO!$J$8:$J$269,PPTO!D$8:D$269))</f>
        <v>ML</v>
      </c>
      <c r="D44" s="90" t="str">
        <f>IF(LOOKUP(M44,PPTO!$J$8:$J$269,PPTO!E$8:E$269)=0," ",LOOKUP(M44,PPTO!$J$8:$J$269,PPTO!E$8:E$269))</f>
        <v xml:space="preserve"> </v>
      </c>
      <c r="E44" s="90" t="str">
        <f>IF(LOOKUP(M44,PPTO!$J$8:$J$269,PPTO!F$8:F$269)=0," ",LOOKUP(M44,PPTO!$J$8:$J$269,PPTO!F$8:F$269))</f>
        <v xml:space="preserve"> </v>
      </c>
      <c r="F44" s="90" t="str">
        <f>IF(LOOKUP(M44,PPTO!$J$8:$J$269,PPTO!H$8:H$269)=0," ",LOOKUP(M44,PPTO!$J$8:$J$269,PPTO!H$8:H$269))</f>
        <v xml:space="preserve"> </v>
      </c>
      <c r="G44" s="178">
        <v>912.33</v>
      </c>
      <c r="H44" s="102" t="e">
        <f t="shared" si="1"/>
        <v>#VALUE!</v>
      </c>
      <c r="I44" s="174">
        <v>0</v>
      </c>
      <c r="J44" s="102" t="e">
        <f t="shared" si="2"/>
        <v>#VALUE!</v>
      </c>
      <c r="K44" s="102" t="e">
        <f>I44+#REF!</f>
        <v>#REF!</v>
      </c>
      <c r="L44" s="102" t="e">
        <f t="shared" si="3"/>
        <v>#REF!</v>
      </c>
      <c r="M44" s="108">
        <f t="shared" si="0"/>
        <v>28</v>
      </c>
    </row>
    <row r="45" spans="1:13">
      <c r="A45" s="87" t="str">
        <f>IF(LOOKUP(M45,PPTO!$J$8:$J$269,PPTO!A$8:A$269)=0," ",LOOKUP(M45,PPTO!$J$8:$J$269,PPTO!A$8:A$269))</f>
        <v>4.06</v>
      </c>
      <c r="B45" s="91" t="str">
        <f>IF(LOOKUP(M45,PPTO!$J$8:J$269,PPTO!B$8:B$269)=0," ",LOOKUP(M45,PPTO!$J$8:J$269,PPTO!B$8:B$269))</f>
        <v xml:space="preserve"> </v>
      </c>
      <c r="C45" s="89" t="str">
        <f>IF(LOOKUP(M45,PPTO!$J$8:$J$269,PPTO!D$8:D$269)=0," ",LOOKUP(M45,PPTO!$J$8:$J$269,PPTO!D$8:D$269))</f>
        <v>UND</v>
      </c>
      <c r="D45" s="90" t="str">
        <f>IF(LOOKUP(M45,PPTO!$J$8:$J$269,PPTO!E$8:E$269)=0," ",LOOKUP(M45,PPTO!$J$8:$J$269,PPTO!E$8:E$269))</f>
        <v xml:space="preserve"> </v>
      </c>
      <c r="E45" s="90" t="str">
        <f>IF(LOOKUP(M45,PPTO!$J$8:$J$269,PPTO!F$8:F$269)=0," ",LOOKUP(M45,PPTO!$J$8:$J$269,PPTO!F$8:F$269))</f>
        <v xml:space="preserve"> </v>
      </c>
      <c r="F45" s="90" t="str">
        <f>IF(LOOKUP(M45,PPTO!$J$8:$J$269,PPTO!H$8:H$269)=0," ",LOOKUP(M45,PPTO!$J$8:$J$269,PPTO!H$8:H$269))</f>
        <v xml:space="preserve"> </v>
      </c>
      <c r="G45" s="178">
        <v>1259</v>
      </c>
      <c r="H45" s="102" t="e">
        <f t="shared" si="1"/>
        <v>#VALUE!</v>
      </c>
      <c r="I45" s="174">
        <v>0</v>
      </c>
      <c r="J45" s="102" t="e">
        <f t="shared" si="2"/>
        <v>#VALUE!</v>
      </c>
      <c r="K45" s="102" t="e">
        <f>I45+#REF!</f>
        <v>#REF!</v>
      </c>
      <c r="L45" s="102" t="e">
        <f t="shared" si="3"/>
        <v>#REF!</v>
      </c>
      <c r="M45" s="108">
        <f t="shared" si="0"/>
        <v>29</v>
      </c>
    </row>
    <row r="46" spans="1:13">
      <c r="A46" s="87" t="str">
        <f>IF(LOOKUP(M46,PPTO!$J$8:$J$269,PPTO!A$8:A$269)=0," ",LOOKUP(M46,PPTO!$J$8:$J$269,PPTO!A$8:A$269))</f>
        <v>4.09</v>
      </c>
      <c r="B46" s="91" t="str">
        <f>IF(LOOKUP(M46,PPTO!$J$8:J$269,PPTO!B$8:B$269)=0," ",LOOKUP(M46,PPTO!$J$8:J$269,PPTO!B$8:B$269))</f>
        <v xml:space="preserve"> </v>
      </c>
      <c r="C46" s="89" t="str">
        <f>IF(LOOKUP(M46,PPTO!$J$8:$J$269,PPTO!D$8:D$269)=0," ",LOOKUP(M46,PPTO!$J$8:$J$269,PPTO!D$8:D$269))</f>
        <v>M3</v>
      </c>
      <c r="D46" s="90" t="str">
        <f>IF(LOOKUP(M46,PPTO!$J$8:$J$269,PPTO!E$8:E$269)=0," ",LOOKUP(M46,PPTO!$J$8:$J$269,PPTO!E$8:E$269))</f>
        <v xml:space="preserve"> </v>
      </c>
      <c r="E46" s="90" t="str">
        <f>IF(LOOKUP(M46,PPTO!$J$8:$J$269,PPTO!F$8:F$269)=0," ",LOOKUP(M46,PPTO!$J$8:$J$269,PPTO!F$8:F$269))</f>
        <v xml:space="preserve"> </v>
      </c>
      <c r="F46" s="90" t="str">
        <f>IF(LOOKUP(M46,PPTO!$J$8:$J$269,PPTO!H$8:H$269)=0," ",LOOKUP(M46,PPTO!$J$8:$J$269,PPTO!H$8:H$269))</f>
        <v xml:space="preserve"> </v>
      </c>
      <c r="G46" s="178">
        <v>453.24</v>
      </c>
      <c r="H46" s="102" t="e">
        <f t="shared" si="1"/>
        <v>#VALUE!</v>
      </c>
      <c r="I46" s="174">
        <v>0</v>
      </c>
      <c r="J46" s="102" t="e">
        <f t="shared" si="2"/>
        <v>#VALUE!</v>
      </c>
      <c r="K46" s="102" t="e">
        <f>I46+#REF!</f>
        <v>#REF!</v>
      </c>
      <c r="L46" s="102" t="e">
        <f t="shared" si="3"/>
        <v>#REF!</v>
      </c>
      <c r="M46" s="108">
        <f t="shared" si="0"/>
        <v>30</v>
      </c>
    </row>
    <row r="47" spans="1:13">
      <c r="A47" s="87" t="str">
        <f>IF(LOOKUP(M47,PPTO!$J$8:$J$269,PPTO!A$8:A$269)=0," ",LOOKUP(M47,PPTO!$J$8:$J$269,PPTO!A$8:A$269))</f>
        <v>4.10</v>
      </c>
      <c r="B47" s="91" t="str">
        <f>IF(LOOKUP(M47,PPTO!$J$8:J$269,PPTO!B$8:B$269)=0," ",LOOKUP(M47,PPTO!$J$8:J$269,PPTO!B$8:B$269))</f>
        <v xml:space="preserve"> </v>
      </c>
      <c r="C47" s="89" t="str">
        <f>IF(LOOKUP(M47,PPTO!$J$8:$J$269,PPTO!D$8:D$269)=0," ",LOOKUP(M47,PPTO!$J$8:$J$269,PPTO!D$8:D$269))</f>
        <v>M3</v>
      </c>
      <c r="D47" s="90" t="str">
        <f>IF(LOOKUP(M47,PPTO!$J$8:$J$269,PPTO!E$8:E$269)=0," ",LOOKUP(M47,PPTO!$J$8:$J$269,PPTO!E$8:E$269))</f>
        <v xml:space="preserve"> </v>
      </c>
      <c r="E47" s="90" t="str">
        <f>IF(LOOKUP(M47,PPTO!$J$8:$J$269,PPTO!F$8:F$269)=0," ",LOOKUP(M47,PPTO!$J$8:$J$269,PPTO!F$8:F$269))</f>
        <v xml:space="preserve"> </v>
      </c>
      <c r="F47" s="90" t="str">
        <f>IF(LOOKUP(M47,PPTO!$J$8:$J$269,PPTO!H$8:H$269)=0," ",LOOKUP(M47,PPTO!$J$8:$J$269,PPTO!H$8:H$269))</f>
        <v xml:space="preserve"> </v>
      </c>
      <c r="G47" s="178">
        <v>2381.3200000000002</v>
      </c>
      <c r="H47" s="102" t="e">
        <f t="shared" si="1"/>
        <v>#VALUE!</v>
      </c>
      <c r="I47" s="174">
        <v>0</v>
      </c>
      <c r="J47" s="102" t="e">
        <f t="shared" si="2"/>
        <v>#VALUE!</v>
      </c>
      <c r="K47" s="102" t="e">
        <f>I47+#REF!</f>
        <v>#REF!</v>
      </c>
      <c r="L47" s="102" t="e">
        <f t="shared" si="3"/>
        <v>#REF!</v>
      </c>
      <c r="M47" s="108">
        <f t="shared" si="0"/>
        <v>31</v>
      </c>
    </row>
    <row r="48" spans="1:13">
      <c r="A48" s="87">
        <f>IF(LOOKUP(M48,PPTO!$J$8:$J$269,PPTO!A$8:A$269)=0," ",LOOKUP(M48,PPTO!$J$8:$J$269,PPTO!A$8:A$269))</f>
        <v>5</v>
      </c>
      <c r="B48" s="91" t="str">
        <f>IF(LOOKUP(M48,PPTO!$J$8:J$269,PPTO!B$8:B$269)=0," ",LOOKUP(M48,PPTO!$J$8:J$269,PPTO!B$8:B$269))</f>
        <v>ESTRUCTURAS SANITARIAS EN CONCRETO</v>
      </c>
      <c r="C48" s="89" t="str">
        <f>IF(LOOKUP(M48,PPTO!$J$8:$J$269,PPTO!D$8:D$269)=0," ",LOOKUP(M48,PPTO!$J$8:$J$269,PPTO!D$8:D$269))</f>
        <v xml:space="preserve"> </v>
      </c>
      <c r="D48" s="90" t="str">
        <f>IF(LOOKUP(M48,PPTO!$J$8:$J$269,PPTO!E$8:E$269)=0," ",LOOKUP(M48,PPTO!$J$8:$J$269,PPTO!E$8:E$269))</f>
        <v xml:space="preserve"> </v>
      </c>
      <c r="E48" s="90" t="str">
        <f>IF(LOOKUP(M48,PPTO!$J$8:$J$269,PPTO!F$8:F$269)=0," ",LOOKUP(M48,PPTO!$J$8:$J$269,PPTO!F$8:F$269))</f>
        <v xml:space="preserve"> </v>
      </c>
      <c r="F48" s="90" t="str">
        <f>IF(LOOKUP(M48,PPTO!$J$8:$J$269,PPTO!H$8:H$269)=0," ",LOOKUP(M48,PPTO!$J$8:$J$269,PPTO!H$8:H$269))</f>
        <v xml:space="preserve"> </v>
      </c>
      <c r="G48" s="178"/>
      <c r="H48" s="102"/>
      <c r="I48" s="174"/>
      <c r="J48" s="102"/>
      <c r="K48" s="102"/>
      <c r="L48" s="102"/>
      <c r="M48" s="108">
        <f t="shared" si="0"/>
        <v>32</v>
      </c>
    </row>
    <row r="49" spans="1:13">
      <c r="A49" s="87" t="str">
        <f>IF(LOOKUP(M49,PPTO!$J$8:$J$269,PPTO!A$8:A$269)=0," ",LOOKUP(M49,PPTO!$J$8:$J$269,PPTO!A$8:A$269))</f>
        <v>5.01</v>
      </c>
      <c r="B49" s="91" t="str">
        <f>IF(LOOKUP(M49,PPTO!$J$8:J$269,PPTO!B$8:B$269)=0," ",LOOKUP(M49,PPTO!$J$8:J$269,PPTO!B$8:B$269))</f>
        <v xml:space="preserve"> </v>
      </c>
      <c r="C49" s="89" t="str">
        <f>IF(LOOKUP(M49,PPTO!$J$8:$J$269,PPTO!D$8:D$269)=0," ",LOOKUP(M49,PPTO!$J$8:$J$269,PPTO!D$8:D$269))</f>
        <v>M3</v>
      </c>
      <c r="D49" s="90" t="str">
        <f>IF(LOOKUP(M49,PPTO!$J$8:$J$269,PPTO!E$8:E$269)=0," ",LOOKUP(M49,PPTO!$J$8:$J$269,PPTO!E$8:E$269))</f>
        <v xml:space="preserve"> </v>
      </c>
      <c r="E49" s="90" t="str">
        <f>IF(LOOKUP(M49,PPTO!$J$8:$J$269,PPTO!F$8:F$269)=0," ",LOOKUP(M49,PPTO!$J$8:$J$269,PPTO!F$8:F$269))</f>
        <v xml:space="preserve"> </v>
      </c>
      <c r="F49" s="90" t="str">
        <f>IF(LOOKUP(M49,PPTO!$J$8:$J$269,PPTO!H$8:H$269)=0," ",LOOKUP(M49,PPTO!$J$8:$J$269,PPTO!H$8:H$269))</f>
        <v xml:space="preserve"> </v>
      </c>
      <c r="G49" s="178">
        <v>293.73</v>
      </c>
      <c r="H49" s="102" t="e">
        <f t="shared" si="1"/>
        <v>#VALUE!</v>
      </c>
      <c r="I49" s="174">
        <v>0</v>
      </c>
      <c r="J49" s="102" t="e">
        <f t="shared" si="2"/>
        <v>#VALUE!</v>
      </c>
      <c r="K49" s="102" t="e">
        <f>I49+#REF!</f>
        <v>#REF!</v>
      </c>
      <c r="L49" s="102" t="e">
        <f t="shared" si="3"/>
        <v>#REF!</v>
      </c>
      <c r="M49" s="108">
        <f t="shared" si="0"/>
        <v>33</v>
      </c>
    </row>
    <row r="50" spans="1:13">
      <c r="A50" s="87" t="str">
        <f>IF(LOOKUP(M50,PPTO!$J$8:$J$269,PPTO!A$8:A$269)=0," ",LOOKUP(M50,PPTO!$J$8:$J$269,PPTO!A$8:A$269))</f>
        <v>5.02</v>
      </c>
      <c r="B50" s="91" t="str">
        <f>IF(LOOKUP(M50,PPTO!$J$8:J$269,PPTO!B$8:B$269)=0," ",LOOKUP(M50,PPTO!$J$8:J$269,PPTO!B$8:B$269))</f>
        <v xml:space="preserve"> </v>
      </c>
      <c r="C50" s="89" t="str">
        <f>IF(LOOKUP(M50,PPTO!$J$8:$J$269,PPTO!D$8:D$269)=0," ",LOOKUP(M50,PPTO!$J$8:$J$269,PPTO!D$8:D$269))</f>
        <v>UND</v>
      </c>
      <c r="D50" s="90" t="str">
        <f>IF(LOOKUP(M50,PPTO!$J$8:$J$269,PPTO!E$8:E$269)=0," ",LOOKUP(M50,PPTO!$J$8:$J$269,PPTO!E$8:E$269))</f>
        <v xml:space="preserve"> </v>
      </c>
      <c r="E50" s="90" t="str">
        <f>IF(LOOKUP(M50,PPTO!$J$8:$J$269,PPTO!F$8:F$269)=0," ",LOOKUP(M50,PPTO!$J$8:$J$269,PPTO!F$8:F$269))</f>
        <v xml:space="preserve"> </v>
      </c>
      <c r="F50" s="90" t="str">
        <f>IF(LOOKUP(M50,PPTO!$J$8:$J$269,PPTO!H$8:H$269)=0," ",LOOKUP(M50,PPTO!$J$8:$J$269,PPTO!H$8:H$269))</f>
        <v xml:space="preserve"> </v>
      </c>
      <c r="G50" s="178">
        <v>912.33</v>
      </c>
      <c r="H50" s="102" t="e">
        <f t="shared" si="1"/>
        <v>#VALUE!</v>
      </c>
      <c r="I50" s="174">
        <v>0</v>
      </c>
      <c r="J50" s="102" t="e">
        <f t="shared" si="2"/>
        <v>#VALUE!</v>
      </c>
      <c r="K50" s="102" t="e">
        <f>I50+#REF!</f>
        <v>#REF!</v>
      </c>
      <c r="L50" s="102" t="e">
        <f t="shared" si="3"/>
        <v>#REF!</v>
      </c>
      <c r="M50" s="108">
        <f t="shared" si="0"/>
        <v>34</v>
      </c>
    </row>
    <row r="51" spans="1:13">
      <c r="A51" s="87" t="str">
        <f>IF(LOOKUP(M51,PPTO!$J$8:$J$269,PPTO!A$8:A$269)=0," ",LOOKUP(M51,PPTO!$J$8:$J$269,PPTO!A$8:A$269))</f>
        <v>5.03</v>
      </c>
      <c r="B51" s="91" t="str">
        <f>IF(LOOKUP(M51,PPTO!$J$8:J$269,PPTO!B$8:B$269)=0," ",LOOKUP(M51,PPTO!$J$8:J$269,PPTO!B$8:B$269))</f>
        <v xml:space="preserve"> </v>
      </c>
      <c r="C51" s="89" t="str">
        <f>IF(LOOKUP(M51,PPTO!$J$8:$J$269,PPTO!D$8:D$269)=0," ",LOOKUP(M51,PPTO!$J$8:$J$269,PPTO!D$8:D$269))</f>
        <v>UND</v>
      </c>
      <c r="D51" s="90" t="str">
        <f>IF(LOOKUP(M51,PPTO!$J$8:$J$269,PPTO!E$8:E$269)=0," ",LOOKUP(M51,PPTO!$J$8:$J$269,PPTO!E$8:E$269))</f>
        <v xml:space="preserve"> </v>
      </c>
      <c r="E51" s="90" t="str">
        <f>IF(LOOKUP(M51,PPTO!$J$8:$J$269,PPTO!F$8:F$269)=0," ",LOOKUP(M51,PPTO!$J$8:$J$269,PPTO!F$8:F$269))</f>
        <v xml:space="preserve"> </v>
      </c>
      <c r="F51" s="90" t="str">
        <f>IF(LOOKUP(M51,PPTO!$J$8:$J$269,PPTO!H$8:H$269)=0," ",LOOKUP(M51,PPTO!$J$8:$J$269,PPTO!H$8:H$269))</f>
        <v xml:space="preserve"> </v>
      </c>
      <c r="G51" s="178">
        <v>1259</v>
      </c>
      <c r="H51" s="102" t="e">
        <f t="shared" si="1"/>
        <v>#VALUE!</v>
      </c>
      <c r="I51" s="174">
        <v>0</v>
      </c>
      <c r="J51" s="102" t="e">
        <f t="shared" si="2"/>
        <v>#VALUE!</v>
      </c>
      <c r="K51" s="102" t="e">
        <f>I51+#REF!</f>
        <v>#REF!</v>
      </c>
      <c r="L51" s="102" t="e">
        <f t="shared" si="3"/>
        <v>#REF!</v>
      </c>
      <c r="M51" s="108">
        <f t="shared" si="0"/>
        <v>35</v>
      </c>
    </row>
    <row r="52" spans="1:13">
      <c r="A52" s="87" t="str">
        <f>IF(LOOKUP(M52,PPTO!$J$8:$J$269,PPTO!A$8:A$269)=0," ",LOOKUP(M52,PPTO!$J$8:$J$269,PPTO!A$8:A$269))</f>
        <v>5.04</v>
      </c>
      <c r="B52" s="91" t="str">
        <f>IF(LOOKUP(M52,PPTO!$J$8:J$269,PPTO!B$8:B$269)=0," ",LOOKUP(M52,PPTO!$J$8:J$269,PPTO!B$8:B$269))</f>
        <v xml:space="preserve"> </v>
      </c>
      <c r="C52" s="89" t="str">
        <f>IF(LOOKUP(M52,PPTO!$J$8:$J$269,PPTO!D$8:D$269)=0," ",LOOKUP(M52,PPTO!$J$8:$J$269,PPTO!D$8:D$269))</f>
        <v>UND</v>
      </c>
      <c r="D52" s="90" t="str">
        <f>IF(LOOKUP(M52,PPTO!$J$8:$J$269,PPTO!E$8:E$269)=0," ",LOOKUP(M52,PPTO!$J$8:$J$269,PPTO!E$8:E$269))</f>
        <v xml:space="preserve"> </v>
      </c>
      <c r="E52" s="90" t="str">
        <f>IF(LOOKUP(M52,PPTO!$J$8:$J$269,PPTO!F$8:F$269)=0," ",LOOKUP(M52,PPTO!$J$8:$J$269,PPTO!F$8:F$269))</f>
        <v xml:space="preserve"> </v>
      </c>
      <c r="F52" s="90" t="str">
        <f>IF(LOOKUP(M52,PPTO!$J$8:$J$269,PPTO!H$8:H$269)=0," ",LOOKUP(M52,PPTO!$J$8:$J$269,PPTO!H$8:H$269))</f>
        <v xml:space="preserve"> </v>
      </c>
      <c r="G52" s="178">
        <v>140</v>
      </c>
      <c r="H52" s="102" t="e">
        <f t="shared" si="1"/>
        <v>#VALUE!</v>
      </c>
      <c r="I52" s="174">
        <v>0</v>
      </c>
      <c r="J52" s="102" t="e">
        <f t="shared" si="2"/>
        <v>#VALUE!</v>
      </c>
      <c r="K52" s="102" t="e">
        <f>I52+#REF!</f>
        <v>#REF!</v>
      </c>
      <c r="L52" s="102" t="e">
        <f t="shared" si="3"/>
        <v>#REF!</v>
      </c>
      <c r="M52" s="108">
        <f t="shared" si="0"/>
        <v>36</v>
      </c>
    </row>
    <row r="53" spans="1:13">
      <c r="A53" s="87" t="str">
        <f>IF(LOOKUP(M53,PPTO!$J$8:$J$269,PPTO!A$8:A$269)=0," ",LOOKUP(M53,PPTO!$J$8:$J$269,PPTO!A$8:A$269))</f>
        <v>5.05</v>
      </c>
      <c r="B53" s="91" t="str">
        <f>IF(LOOKUP(M53,PPTO!$J$8:J$269,PPTO!B$8:B$269)=0," ",LOOKUP(M53,PPTO!$J$8:J$269,PPTO!B$8:B$269))</f>
        <v xml:space="preserve"> </v>
      </c>
      <c r="C53" s="89" t="str">
        <f>IF(LOOKUP(M53,PPTO!$J$8:$J$269,PPTO!D$8:D$269)=0," ",LOOKUP(M53,PPTO!$J$8:$J$269,PPTO!D$8:D$269))</f>
        <v>UND</v>
      </c>
      <c r="D53" s="90" t="str">
        <f>IF(LOOKUP(M53,PPTO!$J$8:$J$269,PPTO!E$8:E$269)=0," ",LOOKUP(M53,PPTO!$J$8:$J$269,PPTO!E$8:E$269))</f>
        <v xml:space="preserve"> </v>
      </c>
      <c r="E53" s="90" t="str">
        <f>IF(LOOKUP(M53,PPTO!$J$8:$J$269,PPTO!F$8:F$269)=0," ",LOOKUP(M53,PPTO!$J$8:$J$269,PPTO!F$8:F$269))</f>
        <v xml:space="preserve"> </v>
      </c>
      <c r="F53" s="90" t="str">
        <f>IF(LOOKUP(M53,PPTO!$J$8:$J$269,PPTO!H$8:H$269)=0," ",LOOKUP(M53,PPTO!$J$8:$J$269,PPTO!H$8:H$269))</f>
        <v xml:space="preserve"> </v>
      </c>
      <c r="G53" s="178">
        <v>84</v>
      </c>
      <c r="H53" s="102" t="e">
        <f t="shared" si="1"/>
        <v>#VALUE!</v>
      </c>
      <c r="I53" s="174">
        <v>0</v>
      </c>
      <c r="J53" s="102" t="e">
        <f t="shared" si="2"/>
        <v>#VALUE!</v>
      </c>
      <c r="K53" s="102" t="e">
        <f>I53+#REF!</f>
        <v>#REF!</v>
      </c>
      <c r="L53" s="102" t="e">
        <f t="shared" si="3"/>
        <v>#REF!</v>
      </c>
      <c r="M53" s="108">
        <f t="shared" si="0"/>
        <v>37</v>
      </c>
    </row>
    <row r="54" spans="1:13">
      <c r="A54" s="87" t="str">
        <f>IF(LOOKUP(M54,PPTO!$J$8:$J$269,PPTO!A$8:A$269)=0," ",LOOKUP(M54,PPTO!$J$8:$J$269,PPTO!A$8:A$269))</f>
        <v>5.06</v>
      </c>
      <c r="B54" s="91" t="str">
        <f>IF(LOOKUP(M54,PPTO!$J$8:J$269,PPTO!B$8:B$269)=0," ",LOOKUP(M54,PPTO!$J$8:J$269,PPTO!B$8:B$269))</f>
        <v xml:space="preserve"> </v>
      </c>
      <c r="C54" s="89" t="str">
        <f>IF(LOOKUP(M54,PPTO!$J$8:$J$269,PPTO!D$8:D$269)=0," ",LOOKUP(M54,PPTO!$J$8:$J$269,PPTO!D$8:D$269))</f>
        <v>UND</v>
      </c>
      <c r="D54" s="90" t="str">
        <f>IF(LOOKUP(M54,PPTO!$J$8:$J$269,PPTO!E$8:E$269)=0," ",LOOKUP(M54,PPTO!$J$8:$J$269,PPTO!E$8:E$269))</f>
        <v xml:space="preserve"> </v>
      </c>
      <c r="E54" s="90" t="str">
        <f>IF(LOOKUP(M54,PPTO!$J$8:$J$269,PPTO!F$8:F$269)=0," ",LOOKUP(M54,PPTO!$J$8:$J$269,PPTO!F$8:F$269))</f>
        <v xml:space="preserve"> </v>
      </c>
      <c r="F54" s="90" t="str">
        <f>IF(LOOKUP(M54,PPTO!$J$8:$J$269,PPTO!H$8:H$269)=0," ",LOOKUP(M54,PPTO!$J$8:$J$269,PPTO!H$8:H$269))</f>
        <v xml:space="preserve"> </v>
      </c>
      <c r="G54" s="178">
        <v>19</v>
      </c>
      <c r="H54" s="102" t="e">
        <f t="shared" si="1"/>
        <v>#VALUE!</v>
      </c>
      <c r="I54" s="174">
        <v>0</v>
      </c>
      <c r="J54" s="102" t="e">
        <f t="shared" si="2"/>
        <v>#VALUE!</v>
      </c>
      <c r="K54" s="102" t="e">
        <f>I54+#REF!</f>
        <v>#REF!</v>
      </c>
      <c r="L54" s="102" t="e">
        <f t="shared" si="3"/>
        <v>#REF!</v>
      </c>
      <c r="M54" s="108">
        <f t="shared" si="0"/>
        <v>38</v>
      </c>
    </row>
    <row r="55" spans="1:13">
      <c r="A55" s="87">
        <f>IF(LOOKUP(M55,PPTO!$J$8:$J$269,PPTO!A$8:A$269)=0," ",LOOKUP(M55,PPTO!$J$8:$J$269,PPTO!A$8:A$269))</f>
        <v>6</v>
      </c>
      <c r="B55" s="91" t="str">
        <f>IF(LOOKUP(M55,PPTO!$J$8:J$269,PPTO!B$8:B$269)=0," ",LOOKUP(M55,PPTO!$J$8:J$269,PPTO!B$8:B$269))</f>
        <v>CONSTRUCCION DE PAVIMENTOS</v>
      </c>
      <c r="C55" s="89" t="str">
        <f>IF(LOOKUP(M55,PPTO!$J$8:$J$269,PPTO!D$8:D$269)=0," ",LOOKUP(M55,PPTO!$J$8:$J$269,PPTO!D$8:D$269))</f>
        <v xml:space="preserve"> </v>
      </c>
      <c r="D55" s="90" t="str">
        <f>IF(LOOKUP(M55,PPTO!$J$8:$J$269,PPTO!E$8:E$269)=0," ",LOOKUP(M55,PPTO!$J$8:$J$269,PPTO!E$8:E$269))</f>
        <v xml:space="preserve"> </v>
      </c>
      <c r="E55" s="90" t="str">
        <f>IF(LOOKUP(M55,PPTO!$J$8:$J$269,PPTO!F$8:F$269)=0," ",LOOKUP(M55,PPTO!$J$8:$J$269,PPTO!F$8:F$269))</f>
        <v xml:space="preserve"> </v>
      </c>
      <c r="F55" s="90" t="str">
        <f>IF(LOOKUP(M55,PPTO!$J$8:$J$269,PPTO!H$8:H$269)=0," ",LOOKUP(M55,PPTO!$J$8:$J$269,PPTO!H$8:H$269))</f>
        <v xml:space="preserve"> </v>
      </c>
      <c r="G55" s="178"/>
      <c r="H55" s="102"/>
      <c r="I55" s="174"/>
      <c r="J55" s="102"/>
      <c r="K55" s="102"/>
      <c r="L55" s="102"/>
      <c r="M55" s="108">
        <f t="shared" si="0"/>
        <v>39</v>
      </c>
    </row>
    <row r="56" spans="1:13">
      <c r="A56" s="87" t="str">
        <f>IF(LOOKUP(M56,PPTO!$J$8:$J$269,PPTO!A$8:A$269)=0," ",LOOKUP(M56,PPTO!$J$8:$J$269,PPTO!A$8:A$269))</f>
        <v>6.01</v>
      </c>
      <c r="B56" s="91" t="str">
        <f>IF(LOOKUP(M56,PPTO!$J$8:J$269,PPTO!B$8:B$269)=0," ",LOOKUP(M56,PPTO!$J$8:J$269,PPTO!B$8:B$269))</f>
        <v xml:space="preserve"> </v>
      </c>
      <c r="C56" s="89" t="str">
        <f>IF(LOOKUP(M56,PPTO!$J$8:$J$269,PPTO!D$8:D$269)=0," ",LOOKUP(M56,PPTO!$J$8:$J$269,PPTO!D$8:D$269))</f>
        <v>M2</v>
      </c>
      <c r="D56" s="90" t="str">
        <f>IF(LOOKUP(M56,PPTO!$J$8:$J$269,PPTO!E$8:E$269)=0," ",LOOKUP(M56,PPTO!$J$8:$J$269,PPTO!E$8:E$269))</f>
        <v xml:space="preserve"> </v>
      </c>
      <c r="E56" s="90" t="str">
        <f>IF(LOOKUP(M56,PPTO!$J$8:$J$269,PPTO!F$8:F$269)=0," ",LOOKUP(M56,PPTO!$J$8:$J$269,PPTO!F$8:F$269))</f>
        <v xml:space="preserve"> </v>
      </c>
      <c r="F56" s="90" t="str">
        <f>IF(LOOKUP(M56,PPTO!$J$8:$J$269,PPTO!H$8:H$269)=0," ",LOOKUP(M56,PPTO!$J$8:$J$269,PPTO!H$8:H$269))</f>
        <v xml:space="preserve"> </v>
      </c>
      <c r="G56" s="178">
        <v>4134</v>
      </c>
      <c r="H56" s="102" t="e">
        <f t="shared" si="1"/>
        <v>#VALUE!</v>
      </c>
      <c r="I56" s="174">
        <v>0</v>
      </c>
      <c r="J56" s="102" t="e">
        <f t="shared" si="2"/>
        <v>#VALUE!</v>
      </c>
      <c r="K56" s="102" t="e">
        <f>I56+#REF!</f>
        <v>#REF!</v>
      </c>
      <c r="L56" s="102" t="e">
        <f t="shared" si="3"/>
        <v>#REF!</v>
      </c>
      <c r="M56" s="108">
        <f t="shared" si="0"/>
        <v>40</v>
      </c>
    </row>
    <row r="57" spans="1:13">
      <c r="A57" s="87" t="str">
        <f>IF(LOOKUP(M57,PPTO!$J$8:$J$269,PPTO!A$8:A$269)=0," ",LOOKUP(M57,PPTO!$J$8:$J$269,PPTO!A$8:A$269))</f>
        <v>6.02</v>
      </c>
      <c r="B57" s="91" t="str">
        <f>IF(LOOKUP(M57,PPTO!$J$8:J$269,PPTO!B$8:B$269)=0," ",LOOKUP(M57,PPTO!$J$8:J$269,PPTO!B$8:B$269))</f>
        <v xml:space="preserve"> </v>
      </c>
      <c r="C57" s="89" t="str">
        <f>IF(LOOKUP(M57,PPTO!$J$8:$J$269,PPTO!D$8:D$269)=0," ",LOOKUP(M57,PPTO!$J$8:$J$269,PPTO!D$8:D$269))</f>
        <v>M3</v>
      </c>
      <c r="D57" s="90" t="str">
        <f>IF(LOOKUP(M57,PPTO!$J$8:$J$269,PPTO!E$8:E$269)=0," ",LOOKUP(M57,PPTO!$J$8:$J$269,PPTO!E$8:E$269))</f>
        <v xml:space="preserve"> </v>
      </c>
      <c r="E57" s="90" t="str">
        <f>IF(LOOKUP(M57,PPTO!$J$8:$J$269,PPTO!F$8:F$269)=0," ",LOOKUP(M57,PPTO!$J$8:$J$269,PPTO!F$8:F$269))</f>
        <v xml:space="preserve"> </v>
      </c>
      <c r="F57" s="90" t="str">
        <f>IF(LOOKUP(M57,PPTO!$J$8:$J$269,PPTO!H$8:H$269)=0," ",LOOKUP(M57,PPTO!$J$8:$J$269,PPTO!H$8:H$269))</f>
        <v xml:space="preserve"> </v>
      </c>
      <c r="G57" s="178">
        <v>1243</v>
      </c>
      <c r="H57" s="102" t="e">
        <f t="shared" si="1"/>
        <v>#VALUE!</v>
      </c>
      <c r="I57" s="174">
        <v>0</v>
      </c>
      <c r="J57" s="102" t="e">
        <f t="shared" si="2"/>
        <v>#VALUE!</v>
      </c>
      <c r="K57" s="102" t="e">
        <f>I57+#REF!</f>
        <v>#REF!</v>
      </c>
      <c r="L57" s="102" t="e">
        <f t="shared" si="3"/>
        <v>#REF!</v>
      </c>
      <c r="M57" s="108">
        <f t="shared" si="0"/>
        <v>41</v>
      </c>
    </row>
    <row r="58" spans="1:13">
      <c r="A58" s="87" t="str">
        <f>IF(LOOKUP(M58,PPTO!$J$8:$J$269,PPTO!A$8:A$269)=0," ",LOOKUP(M58,PPTO!$J$8:$J$269,PPTO!A$8:A$269))</f>
        <v>6.04</v>
      </c>
      <c r="B58" s="91" t="str">
        <f>IF(LOOKUP(M58,PPTO!$J$8:J$269,PPTO!B$8:B$269)=0," ",LOOKUP(M58,PPTO!$J$8:J$269,PPTO!B$8:B$269))</f>
        <v xml:space="preserve"> </v>
      </c>
      <c r="C58" s="89" t="str">
        <f>IF(LOOKUP(M58,PPTO!$J$8:$J$269,PPTO!D$8:D$269)=0," ",LOOKUP(M58,PPTO!$J$8:$J$269,PPTO!D$8:D$269))</f>
        <v>M2</v>
      </c>
      <c r="D58" s="90" t="str">
        <f>IF(LOOKUP(M58,PPTO!$J$8:$J$269,PPTO!E$8:E$269)=0," ",LOOKUP(M58,PPTO!$J$8:$J$269,PPTO!E$8:E$269))</f>
        <v xml:space="preserve"> </v>
      </c>
      <c r="E58" s="90" t="str">
        <f>IF(LOOKUP(M58,PPTO!$J$8:$J$269,PPTO!F$8:F$269)=0," ",LOOKUP(M58,PPTO!$J$8:$J$269,PPTO!F$8:F$269))</f>
        <v xml:space="preserve"> </v>
      </c>
      <c r="F58" s="90" t="str">
        <f>IF(LOOKUP(M58,PPTO!$J$8:$J$269,PPTO!H$8:H$269)=0," ",LOOKUP(M58,PPTO!$J$8:$J$269,PPTO!H$8:H$269))</f>
        <v xml:space="preserve"> </v>
      </c>
      <c r="G58" s="178">
        <v>1259</v>
      </c>
      <c r="H58" s="102" t="e">
        <f t="shared" si="1"/>
        <v>#VALUE!</v>
      </c>
      <c r="I58" s="174">
        <v>0</v>
      </c>
      <c r="J58" s="102" t="e">
        <f t="shared" si="2"/>
        <v>#VALUE!</v>
      </c>
      <c r="K58" s="102" t="e">
        <f>I58+#REF!</f>
        <v>#REF!</v>
      </c>
      <c r="L58" s="102" t="e">
        <f t="shared" si="3"/>
        <v>#REF!</v>
      </c>
      <c r="M58" s="108">
        <f t="shared" si="0"/>
        <v>42</v>
      </c>
    </row>
    <row r="59" spans="1:13">
      <c r="A59" s="87" t="str">
        <f>IF(LOOKUP(M59,PPTO!$J$8:$J$269,PPTO!A$8:A$269)=0," ",LOOKUP(M59,PPTO!$J$8:$J$269,PPTO!A$8:A$269))</f>
        <v>6.05</v>
      </c>
      <c r="B59" s="91" t="str">
        <f>IF(LOOKUP(M59,PPTO!$J$8:J$269,PPTO!B$8:B$269)=0," ",LOOKUP(M59,PPTO!$J$8:J$269,PPTO!B$8:B$269))</f>
        <v xml:space="preserve"> </v>
      </c>
      <c r="C59" s="89" t="str">
        <f>IF(LOOKUP(M59,PPTO!$J$8:$J$269,PPTO!D$8:D$269)=0," ",LOOKUP(M59,PPTO!$J$8:$J$269,PPTO!D$8:D$269))</f>
        <v>ML</v>
      </c>
      <c r="D59" s="90" t="str">
        <f>IF(LOOKUP(M59,PPTO!$J$8:$J$269,PPTO!E$8:E$269)=0," ",LOOKUP(M59,PPTO!$J$8:$J$269,PPTO!E$8:E$269))</f>
        <v xml:space="preserve"> </v>
      </c>
      <c r="E59" s="90" t="str">
        <f>IF(LOOKUP(M59,PPTO!$J$8:$J$269,PPTO!F$8:F$269)=0," ",LOOKUP(M59,PPTO!$J$8:$J$269,PPTO!F$8:F$269))</f>
        <v xml:space="preserve"> </v>
      </c>
      <c r="F59" s="90" t="str">
        <f>IF(LOOKUP(M59,PPTO!$J$8:$J$269,PPTO!H$8:H$269)=0," ",LOOKUP(M59,PPTO!$J$8:$J$269,PPTO!H$8:H$269))</f>
        <v xml:space="preserve"> </v>
      </c>
      <c r="G59" s="178">
        <v>1259</v>
      </c>
      <c r="H59" s="102" t="e">
        <f t="shared" si="1"/>
        <v>#VALUE!</v>
      </c>
      <c r="I59" s="174">
        <v>0</v>
      </c>
      <c r="J59" s="102" t="e">
        <f t="shared" si="2"/>
        <v>#VALUE!</v>
      </c>
      <c r="K59" s="102" t="e">
        <f>I59+#REF!</f>
        <v>#REF!</v>
      </c>
      <c r="L59" s="102" t="e">
        <f t="shared" si="3"/>
        <v>#REF!</v>
      </c>
      <c r="M59" s="108">
        <f t="shared" si="0"/>
        <v>43</v>
      </c>
    </row>
    <row r="60" spans="1:13">
      <c r="A60" s="87" t="str">
        <f>IF(LOOKUP(M60,PPTO!$J$8:$J$269,PPTO!A$8:A$269)=0," ",LOOKUP(M60,PPTO!$J$8:$J$269,PPTO!A$8:A$269))</f>
        <v>6.06</v>
      </c>
      <c r="B60" s="91" t="str">
        <f>IF(LOOKUP(M60,PPTO!$J$8:J$269,PPTO!B$8:B$269)=0," ",LOOKUP(M60,PPTO!$J$8:J$269,PPTO!B$8:B$269))</f>
        <v xml:space="preserve"> </v>
      </c>
      <c r="C60" s="89" t="str">
        <f>IF(LOOKUP(M60,PPTO!$J$8:$J$269,PPTO!D$8:D$269)=0," ",LOOKUP(M60,PPTO!$J$8:$J$269,PPTO!D$8:D$269))</f>
        <v>M2</v>
      </c>
      <c r="D60" s="90" t="str">
        <f>IF(LOOKUP(M60,PPTO!$J$8:$J$269,PPTO!E$8:E$269)=0," ",LOOKUP(M60,PPTO!$J$8:$J$269,PPTO!E$8:E$269))</f>
        <v xml:space="preserve"> </v>
      </c>
      <c r="E60" s="90" t="str">
        <f>IF(LOOKUP(M60,PPTO!$J$8:$J$269,PPTO!F$8:F$269)=0," ",LOOKUP(M60,PPTO!$J$8:$J$269,PPTO!F$8:F$269))</f>
        <v xml:space="preserve"> </v>
      </c>
      <c r="F60" s="90" t="str">
        <f>IF(LOOKUP(M60,PPTO!$J$8:$J$269,PPTO!H$8:H$269)=0," ",LOOKUP(M60,PPTO!$J$8:$J$269,PPTO!H$8:H$269))</f>
        <v xml:space="preserve"> </v>
      </c>
      <c r="G60" s="178">
        <v>140</v>
      </c>
      <c r="H60" s="102" t="e">
        <f t="shared" si="1"/>
        <v>#VALUE!</v>
      </c>
      <c r="I60" s="174">
        <v>0</v>
      </c>
      <c r="J60" s="102" t="e">
        <f t="shared" si="2"/>
        <v>#VALUE!</v>
      </c>
      <c r="K60" s="102" t="e">
        <f>I60+#REF!</f>
        <v>#REF!</v>
      </c>
      <c r="L60" s="102" t="e">
        <f t="shared" si="3"/>
        <v>#REF!</v>
      </c>
      <c r="M60" s="108">
        <f t="shared" si="0"/>
        <v>44</v>
      </c>
    </row>
    <row r="61" spans="1:13">
      <c r="A61" s="87"/>
      <c r="B61" s="154"/>
      <c r="C61" s="155"/>
      <c r="D61" s="156"/>
      <c r="E61" s="156"/>
      <c r="F61" s="176"/>
      <c r="G61" s="179"/>
      <c r="H61" s="177"/>
      <c r="I61" s="174"/>
      <c r="J61" s="102"/>
      <c r="K61" s="102"/>
      <c r="L61" s="102"/>
      <c r="M61" s="108"/>
    </row>
    <row r="62" spans="1:13">
      <c r="A62" s="87"/>
      <c r="B62" s="275" t="s">
        <v>348</v>
      </c>
      <c r="C62" s="276"/>
      <c r="D62" s="277"/>
      <c r="E62" s="277"/>
      <c r="F62" s="277">
        <v>0</v>
      </c>
      <c r="G62" s="278"/>
      <c r="H62" s="278">
        <v>0</v>
      </c>
      <c r="I62" s="279"/>
      <c r="J62" s="279">
        <v>0</v>
      </c>
      <c r="K62" s="279"/>
      <c r="L62" s="279">
        <v>0</v>
      </c>
      <c r="M62" s="108"/>
    </row>
    <row r="63" spans="1:13" ht="12.75" thickBot="1">
      <c r="A63" s="87"/>
      <c r="B63" s="154"/>
      <c r="C63" s="155"/>
      <c r="D63" s="156"/>
      <c r="E63" s="156"/>
      <c r="F63" s="156"/>
      <c r="G63" s="161"/>
      <c r="H63" s="161"/>
      <c r="I63" s="102"/>
      <c r="J63" s="102"/>
      <c r="K63" s="102"/>
      <c r="L63" s="102"/>
      <c r="M63" s="108"/>
    </row>
    <row r="64" spans="1:13" ht="12.75" thickBot="1">
      <c r="A64" s="87"/>
      <c r="B64" s="280" t="s">
        <v>323</v>
      </c>
      <c r="C64" s="281"/>
      <c r="D64" s="282"/>
      <c r="E64" s="282"/>
      <c r="F64" s="283">
        <f>SUM(F19:F63)</f>
        <v>0</v>
      </c>
      <c r="G64" s="284"/>
      <c r="H64" s="283" t="e">
        <f>SUM(H19:H63)</f>
        <v>#VALUE!</v>
      </c>
      <c r="I64" s="284"/>
      <c r="J64" s="283" t="e">
        <f>SUM(J19:J63)</f>
        <v>#VALUE!</v>
      </c>
      <c r="K64" s="284"/>
      <c r="L64" s="283" t="e">
        <f>SUM(L19:L63)</f>
        <v>#REF!</v>
      </c>
      <c r="M64" s="108"/>
    </row>
    <row r="65" spans="1:13">
      <c r="A65" s="87"/>
      <c r="B65" s="285" t="s">
        <v>174</v>
      </c>
      <c r="C65" s="286" t="s">
        <v>296</v>
      </c>
      <c r="D65" s="287">
        <f>DATOS!E184</f>
        <v>18.5</v>
      </c>
      <c r="E65" s="288"/>
      <c r="F65" s="288">
        <f>ROUND(F$64*$D$65/100,0)</f>
        <v>0</v>
      </c>
      <c r="G65" s="289"/>
      <c r="H65" s="288" t="e">
        <f>ROUND(H$64*$D$65/100,0)</f>
        <v>#VALUE!</v>
      </c>
      <c r="I65" s="289"/>
      <c r="J65" s="288" t="e">
        <f>ROUND(J$64*$D$65/100,0)</f>
        <v>#VALUE!</v>
      </c>
      <c r="K65" s="289"/>
      <c r="L65" s="288" t="e">
        <f>ROUND(L$64*$D$65/100,0)</f>
        <v>#REF!</v>
      </c>
      <c r="M65" s="108"/>
    </row>
    <row r="66" spans="1:13">
      <c r="A66" s="87"/>
      <c r="B66" s="290" t="s">
        <v>166</v>
      </c>
      <c r="C66" s="291" t="s">
        <v>296</v>
      </c>
      <c r="D66" s="292">
        <f>DATOS!E186</f>
        <v>5</v>
      </c>
      <c r="E66" s="293"/>
      <c r="F66" s="288">
        <f>ROUND(F$64*$D$66/100,0)</f>
        <v>0</v>
      </c>
      <c r="G66" s="279"/>
      <c r="H66" s="288" t="e">
        <f>ROUND(H$64*$D$66/100,0)</f>
        <v>#VALUE!</v>
      </c>
      <c r="I66" s="279"/>
      <c r="J66" s="288" t="e">
        <f>ROUND(J$64*$D$66/100,0)</f>
        <v>#VALUE!</v>
      </c>
      <c r="K66" s="279"/>
      <c r="L66" s="288" t="e">
        <f>ROUND(L$64*$D$66/100,0)</f>
        <v>#REF!</v>
      </c>
      <c r="M66" s="108"/>
    </row>
    <row r="67" spans="1:13" ht="12.75" thickBot="1">
      <c r="A67" s="87"/>
      <c r="B67" s="294" t="s">
        <v>167</v>
      </c>
      <c r="C67" s="295" t="s">
        <v>296</v>
      </c>
      <c r="D67" s="292">
        <f>DATOS!E188</f>
        <v>8</v>
      </c>
      <c r="E67" s="293"/>
      <c r="F67" s="288">
        <f>ROUND(F$64*$D$67/100,0)</f>
        <v>0</v>
      </c>
      <c r="G67" s="279"/>
      <c r="H67" s="288" t="e">
        <f>ROUND(H$64*$D$67/100,0)</f>
        <v>#VALUE!</v>
      </c>
      <c r="I67" s="279"/>
      <c r="J67" s="288" t="e">
        <f>ROUND(J$64*$D$67/100,0)</f>
        <v>#VALUE!</v>
      </c>
      <c r="K67" s="279"/>
      <c r="L67" s="288" t="e">
        <f>ROUND(L$64*$D$67/100,0)</f>
        <v>#REF!</v>
      </c>
      <c r="M67" s="108"/>
    </row>
    <row r="68" spans="1:13" ht="12.75" thickBot="1">
      <c r="A68" s="87"/>
      <c r="B68" s="280" t="s">
        <v>324</v>
      </c>
      <c r="C68" s="281"/>
      <c r="D68" s="282"/>
      <c r="E68" s="282"/>
      <c r="F68" s="283">
        <f>SUM(F65:F67)</f>
        <v>0</v>
      </c>
      <c r="G68" s="284"/>
      <c r="H68" s="283" t="e">
        <f>SUM(H65:H67)</f>
        <v>#VALUE!</v>
      </c>
      <c r="I68" s="284"/>
      <c r="J68" s="283" t="e">
        <f>SUM(J65:J67)</f>
        <v>#VALUE!</v>
      </c>
      <c r="K68" s="284"/>
      <c r="L68" s="283" t="e">
        <f>SUM(L65:L67)</f>
        <v>#REF!</v>
      </c>
      <c r="M68" s="108"/>
    </row>
    <row r="69" spans="1:13" ht="19.149999999999999" customHeight="1" thickBot="1">
      <c r="A69" s="87"/>
      <c r="B69" s="1150"/>
      <c r="C69" s="1150"/>
      <c r="D69" s="293"/>
      <c r="E69" s="293"/>
      <c r="F69" s="293"/>
      <c r="G69" s="279"/>
      <c r="H69" s="293"/>
      <c r="I69" s="279"/>
      <c r="J69" s="293"/>
      <c r="K69" s="279"/>
      <c r="L69" s="293"/>
      <c r="M69" s="108"/>
    </row>
    <row r="70" spans="1:13" ht="12.75" thickBot="1">
      <c r="A70" s="87"/>
      <c r="B70" s="280" t="s">
        <v>325</v>
      </c>
      <c r="C70" s="281"/>
      <c r="D70" s="282"/>
      <c r="E70" s="282"/>
      <c r="F70" s="283">
        <f>F64+F68</f>
        <v>0</v>
      </c>
      <c r="G70" s="284"/>
      <c r="H70" s="283" t="e">
        <f>H64+H68</f>
        <v>#VALUE!</v>
      </c>
      <c r="I70" s="284"/>
      <c r="J70" s="283" t="e">
        <f>J64+J68</f>
        <v>#VALUE!</v>
      </c>
      <c r="K70" s="284"/>
      <c r="L70" s="283" t="e">
        <f>L64+L68</f>
        <v>#REF!</v>
      </c>
      <c r="M70" s="108"/>
    </row>
    <row r="71" spans="1:13">
      <c r="A71" s="87" t="str">
        <f>IF(LOOKUP(M71,PPTO!$J$8:$J$269,PPTO!A$8:A$269)=0," ",LOOKUP(M71,PPTO!$J$8:$J$269,PPTO!A$8:A$269))</f>
        <v xml:space="preserve"> </v>
      </c>
      <c r="B71" s="88" t="str">
        <f>IF(LOOKUP(M71,PPTO!$J$8:J$269,PPTO!B$8:B$269)=0," ",LOOKUP(M71,PPTO!$J$8:J$269,PPTO!B$8:B$269))</f>
        <v xml:space="preserve"> </v>
      </c>
      <c r="C71" s="89" t="str">
        <f>IF(LOOKUP(M71,PPTO!$J$8:$J$269,PPTO!D$8:D$269)=0," ",LOOKUP(M71,PPTO!$J$8:$J$269,PPTO!D$8:D$269))</f>
        <v xml:space="preserve"> </v>
      </c>
      <c r="D71" s="90" t="str">
        <f>IF(LOOKUP(M71,PPTO!$J$8:$J$269,PPTO!E$8:E$269)=0," ",LOOKUP(M71,PPTO!$J$8:$J$269,PPTO!E$8:E$269))</f>
        <v xml:space="preserve"> </v>
      </c>
      <c r="E71" s="90" t="str">
        <f>IF(LOOKUP(M71,PPTO!$J$8:$J$269,PPTO!F$8:F$269)=0," ",LOOKUP(M71,PPTO!$J$8:$J$269,PPTO!F$8:F$269))</f>
        <v xml:space="preserve"> </v>
      </c>
      <c r="F71" s="97" t="str">
        <f>IF(LOOKUP(M71,PPTO!$J$8:$J$269,PPTO!H$8:H$269)=0," ",LOOKUP(M71,PPTO!$J$8:$J$269,PPTO!H$8:H$269))</f>
        <v xml:space="preserve"> </v>
      </c>
      <c r="G71" s="102"/>
      <c r="H71" s="102"/>
      <c r="I71" s="102"/>
      <c r="J71" s="102"/>
      <c r="K71" s="102"/>
      <c r="L71" s="102"/>
      <c r="M71" s="108">
        <v>45</v>
      </c>
    </row>
    <row r="72" spans="1:13">
      <c r="A72" s="92">
        <f>IF(LOOKUP(M72,PPTO!$J$8:$J$269,PPTO!A$8:A$269)=0," ",LOOKUP(M72,PPTO!$J$8:$J$269,PPTO!A$8:A$269))</f>
        <v>7</v>
      </c>
      <c r="B72" s="88" t="str">
        <f>IF(LOOKUP(M72,PPTO!$J$8:J$269,PPTO!B$8:B$269)=0," ",LOOKUP(M72,PPTO!$J$8:J$269,PPTO!B$8:B$269))</f>
        <v>SUMINISTRO DE TUBERIA</v>
      </c>
      <c r="C72" s="145" t="str">
        <f>IF(LOOKUP(M72,PPTO!$J$8:$J$269,PPTO!D$8:D$269)=0," ",LOOKUP(M72,PPTO!$J$8:$J$269,PPTO!D$8:D$269))</f>
        <v xml:space="preserve"> </v>
      </c>
      <c r="D72" s="144" t="str">
        <f>IF(LOOKUP(M72,PPTO!$J$8:$J$269,PPTO!E$8:E$269)=0," ",LOOKUP(M72,PPTO!$J$8:$J$269,PPTO!E$8:E$269))</f>
        <v xml:space="preserve"> </v>
      </c>
      <c r="E72" s="90" t="str">
        <f>IF(LOOKUP(M72,PPTO!$J$8:$J$269,PPTO!F$8:F$269)=0," ",LOOKUP(M72,PPTO!$J$8:$J$269,PPTO!F$8:F$269))</f>
        <v xml:space="preserve"> </v>
      </c>
      <c r="F72" s="90" t="str">
        <f>IF(LOOKUP(M72,PPTO!$J$8:$J$269,PPTO!H$8:H$269)=0," ",LOOKUP(M72,PPTO!$J$8:$J$269,PPTO!H$8:H$269))</f>
        <v xml:space="preserve"> </v>
      </c>
      <c r="G72" s="178"/>
      <c r="H72" s="102"/>
      <c r="I72" s="174"/>
      <c r="J72" s="102"/>
      <c r="K72" s="102"/>
      <c r="L72" s="102"/>
      <c r="M72" s="108">
        <f t="shared" ref="M72:M77" si="4">M71+1</f>
        <v>46</v>
      </c>
    </row>
    <row r="73" spans="1:13" ht="24">
      <c r="A73" s="87" t="str">
        <f>IF(LOOKUP(M73,PPTO!$J$8:$J$269,PPTO!A$8:A$269)=0," ",LOOKUP(M73,PPTO!$J$8:$J$269,PPTO!A$8:A$269))</f>
        <v>7.01</v>
      </c>
      <c r="B73" s="91" t="str">
        <f>IF(LOOKUP(M73,PPTO!$J$8:J$269,PPTO!B$8:B$269)=0," ",LOOKUP(M73,PPTO!$J$8:J$269,PPTO!B$8:B$269))</f>
        <v>SUM DE TUBERIA PVC UNION MECANICA PARA ALCANTARILLADOS 6", 160 MM</v>
      </c>
      <c r="C73" s="145" t="str">
        <f>IF(LOOKUP(M73,PPTO!$J$8:$J$269,PPTO!D$8:D$269)=0," ",LOOKUP(M73,PPTO!$J$8:$J$269,PPTO!D$8:D$269))</f>
        <v>ML</v>
      </c>
      <c r="D73" s="90" t="str">
        <f>IF(LOOKUP(M73,PPTO!$J$8:$J$269,PPTO!E$8:E$269)=0," ",LOOKUP(M73,PPTO!$J$8:$J$269,PPTO!E$8:E$269))</f>
        <v xml:space="preserve"> </v>
      </c>
      <c r="E73" s="90" t="str">
        <f>IF(LOOKUP(M73,PPTO!$J$8:$J$269,PPTO!F$8:F$269)=0," ",LOOKUP(M73,PPTO!$J$8:$J$269,PPTO!F$8:F$269))</f>
        <v xml:space="preserve"> </v>
      </c>
      <c r="F73" s="90" t="str">
        <f>IF(LOOKUP(M73,PPTO!$J$8:$J$269,PPTO!H$8:H$269)=0," ",LOOKUP(M73,PPTO!$J$8:$J$269,PPTO!H$8:H$269))</f>
        <v xml:space="preserve"> </v>
      </c>
      <c r="G73" s="178">
        <v>7554</v>
      </c>
      <c r="H73" s="102" t="e">
        <f t="shared" ref="H73:H77" si="5">ROUND(G73*E73,0)</f>
        <v>#VALUE!</v>
      </c>
      <c r="I73" s="174">
        <v>0</v>
      </c>
      <c r="J73" s="102" t="e">
        <f t="shared" ref="J73:J77" si="6">ROUND(I73*E73,0)</f>
        <v>#VALUE!</v>
      </c>
      <c r="K73" s="102" t="e">
        <f>I73+#REF!</f>
        <v>#REF!</v>
      </c>
      <c r="L73" s="102" t="e">
        <f t="shared" ref="L73:L77" si="7">ROUND(K73*E73,0)</f>
        <v>#REF!</v>
      </c>
      <c r="M73" s="108">
        <f t="shared" si="4"/>
        <v>47</v>
      </c>
    </row>
    <row r="74" spans="1:13">
      <c r="A74" s="87" t="str">
        <f>IF(LOOKUP(M74,PPTO!$J$8:$J$269,PPTO!A$8:A$269)=0," ",LOOKUP(M74,PPTO!$J$8:$J$269,PPTO!A$8:A$269))</f>
        <v>7.02</v>
      </c>
      <c r="B74" s="91" t="str">
        <f>IF(LOOKUP(M74,PPTO!$J$8:J$269,PPTO!B$8:B$269)=0," ",LOOKUP(M74,PPTO!$J$8:J$269,PPTO!B$8:B$269))</f>
        <v>SUM TUB PVC 8" ALC</v>
      </c>
      <c r="C74" s="145" t="str">
        <f>IF(LOOKUP(M74,PPTO!$J$8:$J$269,PPTO!D$8:D$269)=0," ",LOOKUP(M74,PPTO!$J$8:$J$269,PPTO!D$8:D$269))</f>
        <v>ML</v>
      </c>
      <c r="D74" s="90" t="str">
        <f>IF(LOOKUP(M74,PPTO!$J$8:$J$269,PPTO!E$8:E$269)=0," ",LOOKUP(M74,PPTO!$J$8:$J$269,PPTO!E$8:E$269))</f>
        <v xml:space="preserve"> </v>
      </c>
      <c r="E74" s="90" t="str">
        <f>IF(LOOKUP(M74,PPTO!$J$8:$J$269,PPTO!F$8:F$269)=0," ",LOOKUP(M74,PPTO!$J$8:$J$269,PPTO!F$8:F$269))</f>
        <v xml:space="preserve"> </v>
      </c>
      <c r="F74" s="90" t="str">
        <f>IF(LOOKUP(M74,PPTO!$J$8:$J$269,PPTO!H$8:H$269)=0," ",LOOKUP(M74,PPTO!$J$8:$J$269,PPTO!H$8:H$269))</f>
        <v xml:space="preserve"> </v>
      </c>
      <c r="G74" s="178">
        <v>10629.07</v>
      </c>
      <c r="H74" s="102" t="e">
        <f t="shared" si="5"/>
        <v>#VALUE!</v>
      </c>
      <c r="I74" s="174">
        <v>0</v>
      </c>
      <c r="J74" s="102" t="e">
        <f t="shared" si="6"/>
        <v>#VALUE!</v>
      </c>
      <c r="K74" s="102" t="e">
        <f>I74+#REF!</f>
        <v>#REF!</v>
      </c>
      <c r="L74" s="102" t="e">
        <f t="shared" si="7"/>
        <v>#REF!</v>
      </c>
      <c r="M74" s="108">
        <f t="shared" si="4"/>
        <v>48</v>
      </c>
    </row>
    <row r="75" spans="1:13">
      <c r="A75" s="87" t="str">
        <f>IF(LOOKUP(M75,PPTO!$J$8:$J$269,PPTO!A$8:A$269)=0," ",LOOKUP(M75,PPTO!$J$8:$J$269,PPTO!A$8:A$269))</f>
        <v>7.03</v>
      </c>
      <c r="B75" s="91" t="str">
        <f>IF(LOOKUP(M75,PPTO!$J$8:J$269,PPTO!B$8:B$269)=0," ",LOOKUP(M75,PPTO!$J$8:J$269,PPTO!B$8:B$269))</f>
        <v>SUM TUB PVC 10" ALC</v>
      </c>
      <c r="C75" s="89" t="str">
        <f>IF(LOOKUP(M75,PPTO!$J$8:$J$269,PPTO!D$8:D$269)=0," ",LOOKUP(M75,PPTO!$J$8:$J$269,PPTO!D$8:D$269))</f>
        <v>ML</v>
      </c>
      <c r="D75" s="90" t="str">
        <f>IF(LOOKUP(M75,PPTO!$J$8:$J$269,PPTO!E$8:E$269)=0," ",LOOKUP(M75,PPTO!$J$8:$J$269,PPTO!E$8:E$269))</f>
        <v xml:space="preserve"> </v>
      </c>
      <c r="E75" s="90" t="str">
        <f>IF(LOOKUP(M75,PPTO!$J$8:$J$269,PPTO!F$8:F$269)=0," ",LOOKUP(M75,PPTO!$J$8:$J$269,PPTO!F$8:F$269))</f>
        <v xml:space="preserve"> </v>
      </c>
      <c r="F75" s="90" t="str">
        <f>IF(LOOKUP(M75,PPTO!$J$8:$J$269,PPTO!H$8:H$269)=0," ",LOOKUP(M75,PPTO!$J$8:$J$269,PPTO!H$8:H$269))</f>
        <v xml:space="preserve"> </v>
      </c>
      <c r="G75" s="178">
        <v>119.02</v>
      </c>
      <c r="H75" s="102" t="e">
        <f t="shared" si="5"/>
        <v>#VALUE!</v>
      </c>
      <c r="I75" s="174">
        <v>0</v>
      </c>
      <c r="J75" s="102" t="e">
        <f t="shared" si="6"/>
        <v>#VALUE!</v>
      </c>
      <c r="K75" s="102" t="e">
        <f>I75+#REF!</f>
        <v>#REF!</v>
      </c>
      <c r="L75" s="102" t="e">
        <f t="shared" si="7"/>
        <v>#REF!</v>
      </c>
      <c r="M75" s="108">
        <f t="shared" si="4"/>
        <v>49</v>
      </c>
    </row>
    <row r="76" spans="1:13">
      <c r="A76" s="87" t="str">
        <f>IF(LOOKUP(M76,PPTO!$J$8:$J$269,PPTO!A$8:A$269)=0," ",LOOKUP(M76,PPTO!$J$8:$J$269,PPTO!A$8:A$269))</f>
        <v>7.04</v>
      </c>
      <c r="B76" s="91" t="str">
        <f>IF(LOOKUP(M76,PPTO!$J$8:J$269,PPTO!B$8:B$269)=0," ",LOOKUP(M76,PPTO!$J$8:J$269,PPTO!B$8:B$269))</f>
        <v>SUM TUB PVC 12" ALC</v>
      </c>
      <c r="C76" s="89" t="str">
        <f>IF(LOOKUP(M76,PPTO!$J$8:$J$269,PPTO!D$8:D$269)=0," ",LOOKUP(M76,PPTO!$J$8:$J$269,PPTO!D$8:D$269))</f>
        <v>ML</v>
      </c>
      <c r="D76" s="90" t="str">
        <f>IF(LOOKUP(M76,PPTO!$J$8:$J$269,PPTO!E$8:E$269)=0," ",LOOKUP(M76,PPTO!$J$8:$J$269,PPTO!E$8:E$269))</f>
        <v xml:space="preserve"> </v>
      </c>
      <c r="E76" s="90" t="str">
        <f>IF(LOOKUP(M76,PPTO!$J$8:$J$269,PPTO!F$8:F$269)=0," ",LOOKUP(M76,PPTO!$J$8:$J$269,PPTO!F$8:F$269))</f>
        <v xml:space="preserve"> </v>
      </c>
      <c r="F76" s="90" t="str">
        <f>IF(LOOKUP(M76,PPTO!$J$8:$J$269,PPTO!H$8:H$269)=0," ",LOOKUP(M76,PPTO!$J$8:$J$269,PPTO!H$8:H$269))</f>
        <v xml:space="preserve"> </v>
      </c>
      <c r="G76" s="178">
        <v>293.73</v>
      </c>
      <c r="H76" s="102" t="e">
        <f t="shared" si="5"/>
        <v>#VALUE!</v>
      </c>
      <c r="I76" s="174">
        <v>0</v>
      </c>
      <c r="J76" s="102" t="e">
        <f t="shared" si="6"/>
        <v>#VALUE!</v>
      </c>
      <c r="K76" s="102" t="e">
        <f>I76+#REF!</f>
        <v>#REF!</v>
      </c>
      <c r="L76" s="102" t="e">
        <f t="shared" si="7"/>
        <v>#REF!</v>
      </c>
      <c r="M76" s="108">
        <f t="shared" si="4"/>
        <v>50</v>
      </c>
    </row>
    <row r="77" spans="1:13">
      <c r="A77" s="87" t="str">
        <f>IF(LOOKUP(M77,PPTO!$J$8:$J$269,PPTO!A$8:A$269)=0," ",LOOKUP(M77,PPTO!$J$8:$J$269,PPTO!A$8:A$269))</f>
        <v>7.05</v>
      </c>
      <c r="B77" s="91" t="str">
        <f>IF(LOOKUP(M77,PPTO!$J$8:J$269,PPTO!B$8:B$269)=0," ",LOOKUP(M77,PPTO!$J$8:J$269,PPTO!B$8:B$269))</f>
        <v>SUMINISTRO TUB PVC NOVAFORT 14 "</v>
      </c>
      <c r="C77" s="89" t="str">
        <f>IF(LOOKUP(M77,PPTO!$J$8:$J$269,PPTO!D$8:D$269)=0," ",LOOKUP(M77,PPTO!$J$8:$J$269,PPTO!D$8:D$269))</f>
        <v>ML</v>
      </c>
      <c r="D77" s="90" t="str">
        <f>IF(LOOKUP(M77,PPTO!$J$8:$J$269,PPTO!E$8:E$269)=0," ",LOOKUP(M77,PPTO!$J$8:$J$269,PPTO!E$8:E$269))</f>
        <v xml:space="preserve"> </v>
      </c>
      <c r="E77" s="90" t="str">
        <f>IF(LOOKUP(M77,PPTO!$J$8:$J$269,PPTO!F$8:F$269)=0," ",LOOKUP(M77,PPTO!$J$8:$J$269,PPTO!F$8:F$269))</f>
        <v xml:space="preserve"> </v>
      </c>
      <c r="F77" s="90" t="str">
        <f>IF(LOOKUP(M77,PPTO!$J$8:$J$269,PPTO!H$8:H$269)=0," ",LOOKUP(M77,PPTO!$J$8:$J$269,PPTO!H$8:H$269))</f>
        <v xml:space="preserve"> </v>
      </c>
      <c r="G77" s="178">
        <v>915</v>
      </c>
      <c r="H77" s="102" t="e">
        <f t="shared" si="5"/>
        <v>#VALUE!</v>
      </c>
      <c r="I77" s="174">
        <v>0</v>
      </c>
      <c r="J77" s="102" t="e">
        <f t="shared" si="6"/>
        <v>#VALUE!</v>
      </c>
      <c r="K77" s="102" t="e">
        <f>I77+#REF!</f>
        <v>#REF!</v>
      </c>
      <c r="L77" s="102" t="e">
        <f t="shared" si="7"/>
        <v>#REF!</v>
      </c>
      <c r="M77" s="108">
        <f t="shared" si="4"/>
        <v>51</v>
      </c>
    </row>
    <row r="78" spans="1:13">
      <c r="A78" s="87"/>
      <c r="B78" s="88"/>
      <c r="C78" s="89"/>
      <c r="D78" s="90"/>
      <c r="E78" s="90"/>
      <c r="F78" s="97"/>
      <c r="G78" s="179"/>
      <c r="H78" s="177"/>
      <c r="I78" s="174"/>
      <c r="J78" s="148"/>
      <c r="K78" s="102"/>
      <c r="L78" s="148"/>
      <c r="M78" s="108"/>
    </row>
    <row r="79" spans="1:13">
      <c r="A79" s="87"/>
      <c r="B79" s="275" t="s">
        <v>348</v>
      </c>
      <c r="C79" s="276"/>
      <c r="D79" s="277"/>
      <c r="E79" s="277"/>
      <c r="F79" s="277">
        <v>0</v>
      </c>
      <c r="G79" s="278"/>
      <c r="H79" s="278">
        <v>0</v>
      </c>
      <c r="I79" s="279"/>
      <c r="J79" s="279">
        <v>0</v>
      </c>
      <c r="K79" s="279"/>
      <c r="L79" s="279">
        <v>0</v>
      </c>
      <c r="M79" s="108"/>
    </row>
    <row r="80" spans="1:13" ht="12.75" thickBot="1">
      <c r="A80" s="87"/>
      <c r="B80" s="91"/>
      <c r="C80" s="89"/>
      <c r="D80" s="90"/>
      <c r="E80" s="90"/>
      <c r="F80" s="90"/>
      <c r="G80" s="161"/>
      <c r="H80" s="161"/>
      <c r="I80" s="102"/>
      <c r="J80" s="102"/>
      <c r="K80" s="102"/>
      <c r="L80" s="102"/>
      <c r="M80" s="108"/>
    </row>
    <row r="81" spans="1:13" ht="12.75" thickBot="1">
      <c r="A81" s="92"/>
      <c r="B81" s="280" t="s">
        <v>326</v>
      </c>
      <c r="C81" s="281"/>
      <c r="D81" s="282"/>
      <c r="E81" s="282"/>
      <c r="F81" s="283">
        <f>SUM(F73:F80)</f>
        <v>0</v>
      </c>
      <c r="G81" s="284"/>
      <c r="H81" s="283" t="e">
        <f>SUM(H73:H80)</f>
        <v>#VALUE!</v>
      </c>
      <c r="I81" s="284"/>
      <c r="J81" s="283" t="e">
        <f>SUM(J73:J80)</f>
        <v>#VALUE!</v>
      </c>
      <c r="K81" s="284"/>
      <c r="L81" s="283" t="e">
        <f>SUM(L73:L80)</f>
        <v>#REF!</v>
      </c>
      <c r="M81" s="108"/>
    </row>
    <row r="82" spans="1:13" ht="12.75" thickBot="1">
      <c r="A82" s="87"/>
      <c r="B82" s="285" t="s">
        <v>174</v>
      </c>
      <c r="C82" s="286" t="s">
        <v>296</v>
      </c>
      <c r="D82" s="287">
        <f>DATOS!E192</f>
        <v>18.5</v>
      </c>
      <c r="E82" s="288"/>
      <c r="F82" s="288">
        <f>ROUND(F$81*$D$82/100,0)</f>
        <v>0</v>
      </c>
      <c r="G82" s="289"/>
      <c r="H82" s="288" t="e">
        <f>ROUND(H$81*$D$82/100,0)</f>
        <v>#VALUE!</v>
      </c>
      <c r="I82" s="289"/>
      <c r="J82" s="288" t="e">
        <f>ROUND(J$81*$D$82/100,0)</f>
        <v>#VALUE!</v>
      </c>
      <c r="K82" s="289"/>
      <c r="L82" s="288" t="e">
        <f>ROUND(L$81*$D$82/100,0)</f>
        <v>#REF!</v>
      </c>
      <c r="M82" s="108"/>
    </row>
    <row r="83" spans="1:13" ht="12.75" thickBot="1">
      <c r="A83" s="87"/>
      <c r="B83" s="280" t="s">
        <v>327</v>
      </c>
      <c r="C83" s="281"/>
      <c r="D83" s="282"/>
      <c r="E83" s="282"/>
      <c r="F83" s="283">
        <f>F82</f>
        <v>0</v>
      </c>
      <c r="G83" s="284"/>
      <c r="H83" s="283" t="e">
        <f>H82</f>
        <v>#VALUE!</v>
      </c>
      <c r="I83" s="284"/>
      <c r="J83" s="283" t="e">
        <f>J82</f>
        <v>#VALUE!</v>
      </c>
      <c r="K83" s="284"/>
      <c r="L83" s="283" t="e">
        <f>L82</f>
        <v>#REF!</v>
      </c>
      <c r="M83" s="108"/>
    </row>
    <row r="84" spans="1:13" ht="12.75" thickBot="1">
      <c r="A84" s="87"/>
      <c r="B84" s="1150"/>
      <c r="C84" s="1150"/>
      <c r="D84" s="293"/>
      <c r="E84" s="293"/>
      <c r="F84" s="293"/>
      <c r="G84" s="279"/>
      <c r="H84" s="293"/>
      <c r="I84" s="279"/>
      <c r="J84" s="293"/>
      <c r="K84" s="279"/>
      <c r="L84" s="293"/>
      <c r="M84" s="108"/>
    </row>
    <row r="85" spans="1:13" ht="12.75" thickBot="1">
      <c r="A85" s="87"/>
      <c r="B85" s="280" t="s">
        <v>328</v>
      </c>
      <c r="C85" s="281"/>
      <c r="D85" s="282"/>
      <c r="E85" s="282"/>
      <c r="F85" s="283">
        <f>F81+F83</f>
        <v>0</v>
      </c>
      <c r="G85" s="284"/>
      <c r="H85" s="283" t="e">
        <f>H81+H83</f>
        <v>#VALUE!</v>
      </c>
      <c r="I85" s="284"/>
      <c r="J85" s="283" t="e">
        <f>J81+J83</f>
        <v>#VALUE!</v>
      </c>
      <c r="K85" s="284"/>
      <c r="L85" s="283" t="e">
        <f>L81+L83</f>
        <v>#REF!</v>
      </c>
      <c r="M85" s="108"/>
    </row>
    <row r="86" spans="1:13" ht="25.15" customHeight="1" thickBot="1">
      <c r="A86" s="87"/>
      <c r="B86" s="1151"/>
      <c r="C86" s="1151"/>
      <c r="D86" s="293"/>
      <c r="E86" s="293"/>
      <c r="F86" s="293"/>
      <c r="G86" s="279"/>
      <c r="H86" s="293"/>
      <c r="I86" s="279"/>
      <c r="J86" s="293"/>
      <c r="K86" s="279"/>
      <c r="L86" s="293"/>
      <c r="M86" s="108"/>
    </row>
    <row r="87" spans="1:13" ht="12.75" thickBot="1">
      <c r="A87" s="87"/>
      <c r="B87" s="280" t="s">
        <v>325</v>
      </c>
      <c r="C87" s="281"/>
      <c r="D87" s="282"/>
      <c r="E87" s="282"/>
      <c r="F87" s="283">
        <f>F70</f>
        <v>0</v>
      </c>
      <c r="G87" s="284"/>
      <c r="H87" s="283" t="e">
        <f>H70</f>
        <v>#VALUE!</v>
      </c>
      <c r="I87" s="284"/>
      <c r="J87" s="283" t="e">
        <f>J70</f>
        <v>#VALUE!</v>
      </c>
      <c r="K87" s="284"/>
      <c r="L87" s="283" t="e">
        <f>L70</f>
        <v>#REF!</v>
      </c>
      <c r="M87" s="108"/>
    </row>
    <row r="88" spans="1:13" ht="5.45" customHeight="1" thickBot="1">
      <c r="A88" s="87"/>
      <c r="B88" s="1151"/>
      <c r="C88" s="1151"/>
      <c r="D88" s="293"/>
      <c r="E88" s="293"/>
      <c r="F88" s="293"/>
      <c r="G88" s="279"/>
      <c r="H88" s="293"/>
      <c r="I88" s="279"/>
      <c r="J88" s="293"/>
      <c r="K88" s="279"/>
      <c r="L88" s="293"/>
      <c r="M88" s="108"/>
    </row>
    <row r="89" spans="1:13" ht="12.75" thickBot="1">
      <c r="A89" s="87"/>
      <c r="B89" s="280" t="s">
        <v>328</v>
      </c>
      <c r="C89" s="281"/>
      <c r="D89" s="282"/>
      <c r="E89" s="282"/>
      <c r="F89" s="283">
        <f>F85</f>
        <v>0</v>
      </c>
      <c r="G89" s="284"/>
      <c r="H89" s="283" t="e">
        <f>H85</f>
        <v>#VALUE!</v>
      </c>
      <c r="I89" s="284"/>
      <c r="J89" s="283" t="e">
        <f>J85</f>
        <v>#VALUE!</v>
      </c>
      <c r="K89" s="284"/>
      <c r="L89" s="283" t="e">
        <f>L85</f>
        <v>#REF!</v>
      </c>
      <c r="M89" s="108"/>
    </row>
    <row r="90" spans="1:13" ht="12.75" thickBot="1">
      <c r="A90" s="87"/>
      <c r="B90" s="976"/>
      <c r="C90" s="976"/>
      <c r="D90" s="144"/>
      <c r="E90" s="90"/>
      <c r="F90" s="90"/>
      <c r="G90" s="161"/>
      <c r="H90" s="156"/>
      <c r="I90" s="161"/>
      <c r="J90" s="156"/>
      <c r="K90" s="161"/>
      <c r="L90" s="156"/>
      <c r="M90" s="108"/>
    </row>
    <row r="91" spans="1:13" ht="15" customHeight="1" thickBot="1">
      <c r="A91" s="87"/>
      <c r="B91" s="157" t="s">
        <v>117</v>
      </c>
      <c r="C91" s="158"/>
      <c r="D91" s="159"/>
      <c r="E91" s="159"/>
      <c r="F91" s="160">
        <f>F87+F89</f>
        <v>0</v>
      </c>
      <c r="G91" s="163"/>
      <c r="H91" s="164" t="e">
        <f>H87+H89</f>
        <v>#VALUE!</v>
      </c>
      <c r="I91" s="165"/>
      <c r="J91" s="166" t="e">
        <f>J87+J89</f>
        <v>#VALUE!</v>
      </c>
      <c r="K91" s="167"/>
      <c r="L91" s="168" t="e">
        <f>L87+L89</f>
        <v>#REF!</v>
      </c>
      <c r="M91" s="108"/>
    </row>
    <row r="92" spans="1:13">
      <c r="A92" s="87"/>
      <c r="B92" s="88"/>
      <c r="C92" s="89"/>
      <c r="D92" s="90"/>
      <c r="E92" s="90"/>
      <c r="F92" s="90"/>
      <c r="G92" s="162"/>
      <c r="H92" s="162"/>
      <c r="I92" s="102"/>
      <c r="K92" s="102"/>
      <c r="L92" s="102"/>
      <c r="M92" s="108"/>
    </row>
    <row r="93" spans="1:13">
      <c r="A93" s="87"/>
      <c r="B93" s="88"/>
      <c r="C93" s="89"/>
      <c r="D93" s="90"/>
      <c r="E93" s="90"/>
      <c r="F93" s="90"/>
      <c r="G93" s="102"/>
      <c r="H93" s="102"/>
      <c r="I93" s="102"/>
      <c r="J93" s="102"/>
      <c r="K93" s="102"/>
      <c r="L93" s="102"/>
      <c r="M93" s="108"/>
    </row>
    <row r="94" spans="1:13">
      <c r="A94" s="84"/>
      <c r="B94" s="93"/>
      <c r="C94" s="84"/>
      <c r="D94" s="86"/>
      <c r="E94" s="86"/>
      <c r="F94" s="86"/>
      <c r="G94" s="85"/>
      <c r="H94" s="85"/>
      <c r="I94" s="85"/>
      <c r="J94" s="85"/>
      <c r="K94" s="85"/>
      <c r="L94" s="85"/>
      <c r="M94" s="108"/>
    </row>
    <row r="95" spans="1:13">
      <c r="B95" s="111" t="s">
        <v>251</v>
      </c>
      <c r="C95" s="84"/>
      <c r="D95" s="86"/>
      <c r="E95" s="86"/>
      <c r="F95" s="86"/>
      <c r="G95" s="85"/>
      <c r="H95" s="111" t="s">
        <v>263</v>
      </c>
      <c r="I95" s="85"/>
      <c r="J95" s="85"/>
      <c r="K95" s="85"/>
      <c r="L95" s="85"/>
      <c r="M95" s="108"/>
    </row>
    <row r="96" spans="1:13">
      <c r="A96" s="84"/>
      <c r="B96" s="113" t="s">
        <v>252</v>
      </c>
      <c r="C96" s="121"/>
      <c r="D96" s="123" t="s">
        <v>259</v>
      </c>
      <c r="E96" s="112"/>
      <c r="F96" s="112">
        <f>F7</f>
        <v>0</v>
      </c>
      <c r="G96" s="85"/>
      <c r="H96" s="117" t="s">
        <v>13</v>
      </c>
      <c r="I96" s="118"/>
      <c r="J96" s="120" t="s">
        <v>259</v>
      </c>
      <c r="K96" s="112"/>
      <c r="L96" s="112">
        <f>DATOS!E48</f>
        <v>0</v>
      </c>
      <c r="M96" s="108"/>
    </row>
    <row r="97" spans="1:13">
      <c r="A97" s="84"/>
      <c r="B97" s="113" t="s">
        <v>257</v>
      </c>
      <c r="C97" s="121"/>
      <c r="D97" s="123" t="s">
        <v>259</v>
      </c>
      <c r="E97" s="112"/>
      <c r="F97" s="112">
        <f>F8</f>
        <v>30000000</v>
      </c>
      <c r="G97" s="85"/>
      <c r="H97" s="117" t="s">
        <v>260</v>
      </c>
      <c r="I97" s="118"/>
      <c r="J97" s="120" t="s">
        <v>259</v>
      </c>
      <c r="K97" s="112"/>
      <c r="L97" s="112">
        <v>0</v>
      </c>
      <c r="M97" s="108"/>
    </row>
    <row r="98" spans="1:13">
      <c r="A98" s="84"/>
      <c r="B98" s="113" t="s">
        <v>258</v>
      </c>
      <c r="C98" s="121"/>
      <c r="D98" s="123" t="s">
        <v>259</v>
      </c>
      <c r="E98" s="112"/>
      <c r="F98" s="112">
        <f>F9</f>
        <v>0</v>
      </c>
      <c r="G98" s="85"/>
      <c r="H98" s="117" t="s">
        <v>261</v>
      </c>
      <c r="I98" s="118"/>
      <c r="J98" s="120" t="s">
        <v>259</v>
      </c>
      <c r="K98" s="112"/>
      <c r="L98" s="112">
        <v>0</v>
      </c>
      <c r="M98" s="108"/>
    </row>
    <row r="99" spans="1:13">
      <c r="A99" s="84"/>
      <c r="B99" s="113" t="s">
        <v>253</v>
      </c>
      <c r="C99" s="121"/>
      <c r="D99" s="123" t="s">
        <v>259</v>
      </c>
      <c r="E99" s="112" t="e">
        <f>'ACTA PARCIAL No.1'!E99</f>
        <v>#VALUE!</v>
      </c>
      <c r="F99" s="112"/>
      <c r="G99" s="85"/>
      <c r="H99" s="117" t="s">
        <v>262</v>
      </c>
      <c r="I99" s="118"/>
      <c r="J99" s="120" t="s">
        <v>259</v>
      </c>
      <c r="K99" s="112" t="e">
        <f>ROUND(E99*DATOS!$I$48,0)</f>
        <v>#VALUE!</v>
      </c>
      <c r="L99" s="112"/>
      <c r="M99" s="108"/>
    </row>
    <row r="100" spans="1:13">
      <c r="A100" s="84"/>
      <c r="B100" s="113" t="s">
        <v>272</v>
      </c>
      <c r="C100" s="121"/>
      <c r="D100" s="123" t="s">
        <v>259</v>
      </c>
      <c r="E100" s="112" t="e">
        <f>#REF!</f>
        <v>#REF!</v>
      </c>
      <c r="F100" s="112"/>
      <c r="G100" s="85"/>
      <c r="H100" s="117" t="s">
        <v>273</v>
      </c>
      <c r="I100" s="118"/>
      <c r="J100" s="120" t="s">
        <v>259</v>
      </c>
      <c r="K100" s="112" t="e">
        <f>ROUND(E100*DATOS!$I$48,0)</f>
        <v>#REF!</v>
      </c>
      <c r="L100" s="112"/>
      <c r="M100" s="108"/>
    </row>
    <row r="101" spans="1:13">
      <c r="A101" s="84"/>
      <c r="B101" s="113" t="s">
        <v>297</v>
      </c>
      <c r="C101" s="121"/>
      <c r="D101" s="123" t="s">
        <v>259</v>
      </c>
      <c r="E101" s="112" t="e">
        <f>#REF!</f>
        <v>#REF!</v>
      </c>
      <c r="F101" s="112"/>
      <c r="G101" s="85"/>
      <c r="H101" s="117" t="s">
        <v>304</v>
      </c>
      <c r="I101" s="118"/>
      <c r="J101" s="120" t="s">
        <v>259</v>
      </c>
      <c r="K101" s="112" t="e">
        <f>ROUND(E101*DATOS!$I$48,0)</f>
        <v>#REF!</v>
      </c>
      <c r="L101" s="112"/>
      <c r="M101" s="108"/>
    </row>
    <row r="102" spans="1:13">
      <c r="A102" s="84"/>
      <c r="B102" s="113" t="s">
        <v>298</v>
      </c>
      <c r="C102" s="121"/>
      <c r="D102" s="123" t="s">
        <v>259</v>
      </c>
      <c r="E102" s="112" t="e">
        <f>J91</f>
        <v>#VALUE!</v>
      </c>
      <c r="F102" s="112"/>
      <c r="G102" s="85"/>
      <c r="H102" s="117" t="s">
        <v>305</v>
      </c>
      <c r="I102" s="118"/>
      <c r="J102" s="120" t="s">
        <v>259</v>
      </c>
      <c r="K102" s="112" t="e">
        <f>ROUND(E102*DATOS!$I$48,0)</f>
        <v>#VALUE!</v>
      </c>
      <c r="L102" s="112"/>
      <c r="M102" s="108"/>
    </row>
    <row r="103" spans="1:13">
      <c r="A103" s="84"/>
      <c r="B103" s="113" t="s">
        <v>254</v>
      </c>
      <c r="C103" s="121"/>
      <c r="D103" s="123" t="s">
        <v>259</v>
      </c>
      <c r="E103" s="112" t="e">
        <f>F96+F97+F98-E99-E100-E101-E102</f>
        <v>#VALUE!</v>
      </c>
      <c r="F103" s="112"/>
      <c r="G103" s="85"/>
      <c r="H103" s="117" t="s">
        <v>250</v>
      </c>
      <c r="I103" s="118"/>
      <c r="J103" s="120" t="s">
        <v>259</v>
      </c>
      <c r="K103" s="112" t="e">
        <f>L96+L97+L98-K99-K100-K101-K102</f>
        <v>#VALUE!</v>
      </c>
      <c r="L103" s="112"/>
      <c r="M103" s="108"/>
    </row>
    <row r="104" spans="1:13">
      <c r="A104" s="84"/>
      <c r="B104" s="114" t="s">
        <v>255</v>
      </c>
      <c r="C104" s="121"/>
      <c r="D104" s="123" t="s">
        <v>259</v>
      </c>
      <c r="E104" s="112" t="e">
        <f>SUM(E96:E103)</f>
        <v>#VALUE!</v>
      </c>
      <c r="F104" s="112">
        <f>SUM(F96:F103)</f>
        <v>30000000</v>
      </c>
      <c r="G104" s="85"/>
      <c r="H104" s="119" t="s">
        <v>255</v>
      </c>
      <c r="I104" s="118"/>
      <c r="J104" s="120" t="s">
        <v>259</v>
      </c>
      <c r="K104" s="112" t="e">
        <f>SUM(K96:K103)</f>
        <v>#VALUE!</v>
      </c>
      <c r="L104" s="112">
        <f>SUM(L96:L103)</f>
        <v>0</v>
      </c>
      <c r="M104" s="108"/>
    </row>
    <row r="105" spans="1:13">
      <c r="A105" s="84"/>
      <c r="B105" s="93"/>
      <c r="C105" s="84"/>
      <c r="D105" s="86"/>
      <c r="E105" s="86"/>
      <c r="F105" s="86"/>
      <c r="G105" s="85"/>
      <c r="I105" s="85"/>
      <c r="J105" s="85"/>
      <c r="K105" s="85"/>
      <c r="L105" s="85"/>
      <c r="M105" s="108"/>
    </row>
    <row r="106" spans="1:13">
      <c r="A106" s="84"/>
      <c r="B106" s="113" t="s">
        <v>311</v>
      </c>
      <c r="C106" s="121"/>
      <c r="D106" s="122"/>
      <c r="E106" s="123" t="s">
        <v>259</v>
      </c>
      <c r="F106" s="112">
        <f>F96+F97+F98</f>
        <v>30000000</v>
      </c>
      <c r="G106" s="85"/>
      <c r="H106" s="117" t="s">
        <v>265</v>
      </c>
      <c r="I106" s="118"/>
      <c r="J106" s="126"/>
      <c r="K106" s="120" t="s">
        <v>259</v>
      </c>
      <c r="L106" s="112" t="e">
        <f>E102</f>
        <v>#VALUE!</v>
      </c>
      <c r="M106" s="108"/>
    </row>
    <row r="107" spans="1:13">
      <c r="A107" s="84"/>
      <c r="B107" s="113" t="s">
        <v>264</v>
      </c>
      <c r="C107" s="121"/>
      <c r="D107" s="122"/>
      <c r="E107" s="123" t="s">
        <v>259</v>
      </c>
      <c r="F107" s="112" t="e">
        <f>E99+E100++E102+E101</f>
        <v>#VALUE!</v>
      </c>
      <c r="G107" s="85"/>
      <c r="H107" s="117" t="s">
        <v>266</v>
      </c>
      <c r="I107" s="118"/>
      <c r="J107" s="126"/>
      <c r="K107" s="120" t="s">
        <v>259</v>
      </c>
      <c r="L107" s="112" t="e">
        <f>K102</f>
        <v>#VALUE!</v>
      </c>
      <c r="M107" s="108"/>
    </row>
    <row r="108" spans="1:13">
      <c r="A108" s="84"/>
      <c r="B108" s="113" t="s">
        <v>274</v>
      </c>
      <c r="C108" s="121"/>
      <c r="D108" s="122"/>
      <c r="E108" s="123" t="s">
        <v>259</v>
      </c>
      <c r="F108" s="112" t="e">
        <f>K103</f>
        <v>#VALUE!</v>
      </c>
      <c r="G108" s="85"/>
      <c r="H108" s="85"/>
      <c r="I108" s="85"/>
      <c r="J108" s="125"/>
      <c r="K108" s="126"/>
      <c r="L108" s="122"/>
      <c r="M108" s="108"/>
    </row>
    <row r="109" spans="1:13">
      <c r="A109" s="84"/>
      <c r="B109" s="113" t="s">
        <v>254</v>
      </c>
      <c r="C109" s="121"/>
      <c r="D109" s="122"/>
      <c r="E109" s="123" t="s">
        <v>259</v>
      </c>
      <c r="F109" s="112" t="e">
        <f>E103</f>
        <v>#VALUE!</v>
      </c>
      <c r="G109" s="85"/>
      <c r="H109" s="119" t="s">
        <v>267</v>
      </c>
      <c r="I109" s="118"/>
      <c r="J109" s="126"/>
      <c r="K109" s="120" t="s">
        <v>259</v>
      </c>
      <c r="L109" s="116" t="e">
        <f>L106-L107</f>
        <v>#VALUE!</v>
      </c>
      <c r="M109" s="108"/>
    </row>
    <row r="110" spans="1:13">
      <c r="A110" s="84"/>
      <c r="B110" s="114" t="s">
        <v>256</v>
      </c>
      <c r="C110" s="121"/>
      <c r="D110" s="122"/>
      <c r="E110" s="123"/>
      <c r="F110" s="124" t="e">
        <f>F107/F106</f>
        <v>#VALUE!</v>
      </c>
      <c r="G110" s="85"/>
      <c r="H110" s="85"/>
      <c r="I110" s="85"/>
      <c r="J110" s="85"/>
      <c r="K110" s="85"/>
      <c r="L110" s="85"/>
      <c r="M110" s="108"/>
    </row>
    <row r="111" spans="1:13">
      <c r="A111" s="84"/>
      <c r="B111" s="93"/>
      <c r="C111" s="84"/>
      <c r="D111" s="86"/>
      <c r="E111" s="86"/>
      <c r="F111" s="86"/>
      <c r="G111" s="85"/>
      <c r="H111" s="85"/>
      <c r="I111" s="85"/>
      <c r="J111" s="85"/>
      <c r="K111" s="85"/>
      <c r="L111" s="85"/>
      <c r="M111" s="108"/>
    </row>
    <row r="112" spans="1:13" ht="12.75" thickBot="1">
      <c r="A112" s="84"/>
      <c r="B112" s="93"/>
      <c r="C112" s="84"/>
      <c r="D112" s="86"/>
      <c r="E112" s="86"/>
      <c r="F112" s="86"/>
      <c r="G112" s="85"/>
      <c r="H112" s="85"/>
      <c r="I112" s="85"/>
      <c r="J112" s="85"/>
      <c r="K112" s="85"/>
      <c r="L112" s="85"/>
      <c r="M112" s="108"/>
    </row>
    <row r="113" spans="1:13" ht="15" customHeight="1" thickBot="1">
      <c r="A113" s="84"/>
      <c r="B113" s="93" t="s">
        <v>268</v>
      </c>
      <c r="C113" s="1144"/>
      <c r="D113" s="1145"/>
      <c r="E113" s="1145"/>
      <c r="F113" s="1145"/>
      <c r="G113" s="1145"/>
      <c r="H113" s="1145"/>
      <c r="I113" s="1145"/>
      <c r="J113" s="1145"/>
      <c r="K113" s="1145"/>
      <c r="L113" s="1146"/>
      <c r="M113" s="108"/>
    </row>
    <row r="114" spans="1:13">
      <c r="A114" s="84"/>
      <c r="B114" s="93"/>
      <c r="C114" s="84"/>
      <c r="D114" s="86"/>
      <c r="E114" s="86"/>
      <c r="F114" s="86"/>
      <c r="G114" s="85"/>
      <c r="H114" s="85"/>
      <c r="I114" s="85"/>
      <c r="J114" s="85"/>
      <c r="K114" s="85"/>
      <c r="L114" s="85"/>
      <c r="M114" s="108"/>
    </row>
    <row r="115" spans="1:13">
      <c r="A115" s="84"/>
      <c r="B115" s="93"/>
      <c r="C115" s="84"/>
      <c r="D115" s="86"/>
      <c r="E115" s="86"/>
      <c r="F115" s="86"/>
      <c r="G115" s="85"/>
      <c r="H115" s="85"/>
      <c r="I115" s="85"/>
      <c r="J115" s="85"/>
      <c r="K115" s="85"/>
      <c r="L115" s="85"/>
      <c r="M115" s="108"/>
    </row>
    <row r="116" spans="1:13" ht="26.45" customHeight="1">
      <c r="A116" s="84"/>
      <c r="B116" s="1066" t="s">
        <v>269</v>
      </c>
      <c r="C116" s="1066"/>
      <c r="D116" s="1066"/>
      <c r="E116" s="1066"/>
      <c r="F116" s="1066"/>
      <c r="G116" s="1066"/>
      <c r="H116" s="1066"/>
      <c r="I116" s="1066"/>
      <c r="J116" s="1066"/>
      <c r="K116" s="1066"/>
      <c r="L116" s="1066"/>
      <c r="M116" s="108"/>
    </row>
    <row r="117" spans="1:13">
      <c r="A117" s="84"/>
      <c r="B117" s="94"/>
      <c r="C117" s="84"/>
      <c r="D117" s="86"/>
      <c r="E117" s="86"/>
      <c r="F117" s="86"/>
      <c r="G117" s="85"/>
      <c r="H117" s="85"/>
      <c r="I117" s="85"/>
      <c r="J117" s="85"/>
      <c r="K117" s="85"/>
      <c r="L117" s="85"/>
      <c r="M117" s="108"/>
    </row>
    <row r="118" spans="1:13">
      <c r="A118" s="84"/>
      <c r="B118" s="94"/>
      <c r="C118" s="84"/>
      <c r="D118" s="86"/>
      <c r="E118" s="86"/>
      <c r="F118" s="86"/>
      <c r="G118" s="85"/>
      <c r="H118" s="85"/>
      <c r="I118" s="85"/>
      <c r="J118" s="85"/>
      <c r="K118" s="85"/>
      <c r="L118" s="85"/>
      <c r="M118" s="108"/>
    </row>
    <row r="119" spans="1:13">
      <c r="A119" s="84"/>
      <c r="B119" s="94"/>
      <c r="C119" s="84"/>
      <c r="D119" s="86"/>
      <c r="E119" s="86"/>
      <c r="F119" s="86"/>
      <c r="G119" s="85"/>
      <c r="H119" s="85"/>
      <c r="I119" s="85"/>
      <c r="J119" s="85"/>
      <c r="K119" s="85"/>
      <c r="L119" s="85"/>
      <c r="M119" s="108"/>
    </row>
    <row r="120" spans="1:13">
      <c r="A120" s="84"/>
      <c r="B120" s="94"/>
      <c r="C120" s="84"/>
      <c r="D120" s="86"/>
      <c r="E120" s="86"/>
      <c r="F120" s="86"/>
      <c r="G120" s="85"/>
      <c r="H120" s="85"/>
      <c r="I120" s="85"/>
      <c r="J120" s="85"/>
      <c r="K120" s="85"/>
      <c r="L120" s="85"/>
      <c r="M120" s="108"/>
    </row>
    <row r="121" spans="1:13">
      <c r="A121" s="84"/>
      <c r="B121" s="94"/>
      <c r="C121" s="84"/>
      <c r="D121" s="86"/>
      <c r="E121" s="86"/>
      <c r="F121" s="86"/>
      <c r="G121" s="85"/>
      <c r="H121" s="85"/>
      <c r="I121" s="85"/>
      <c r="J121" s="85"/>
      <c r="K121" s="85"/>
      <c r="L121" s="85"/>
      <c r="M121" s="108"/>
    </row>
    <row r="122" spans="1:13">
      <c r="A122" s="84"/>
      <c r="B122" s="85" t="s">
        <v>271</v>
      </c>
      <c r="C122" s="84"/>
      <c r="D122" s="86"/>
      <c r="E122" s="85" t="s">
        <v>271</v>
      </c>
      <c r="F122" s="86"/>
      <c r="G122" s="85"/>
      <c r="H122" s="85"/>
      <c r="I122" s="85"/>
      <c r="J122" s="85" t="s">
        <v>271</v>
      </c>
      <c r="K122" s="85"/>
      <c r="L122" s="85"/>
      <c r="M122" s="108"/>
    </row>
    <row r="123" spans="1:13">
      <c r="A123" s="84"/>
      <c r="B123" s="115">
        <f>IF(DATOS!E16="Persona Jurídica",DATOS!G20,DATOS!G16)</f>
        <v>0</v>
      </c>
      <c r="C123" s="84"/>
      <c r="D123" s="86"/>
      <c r="E123" s="128">
        <f>IF(DATOS!E10="CONTRATO DE OBRA",IF(DATOS!E24="Persona Jurídica",DATOS!G28,DATOS!G24),DATOS!G30)</f>
        <v>0</v>
      </c>
      <c r="F123" s="86"/>
      <c r="G123" s="85"/>
      <c r="H123" s="85"/>
      <c r="I123" s="85"/>
      <c r="J123" s="115">
        <f>DATOS!E42</f>
        <v>0</v>
      </c>
      <c r="K123" s="85"/>
      <c r="L123" s="85"/>
      <c r="M123" s="108"/>
    </row>
    <row r="124" spans="1:13">
      <c r="A124" s="84"/>
      <c r="B124" s="85" t="str">
        <f>IF(DATOS!E16="Persona Jurídica",DATOS!G16,"CONTRATISTA")</f>
        <v>CONTRATISTA</v>
      </c>
      <c r="C124" s="84"/>
      <c r="D124" s="86"/>
      <c r="E124" s="127" t="str">
        <f>IF(DATOS!E24="Persona Jurídica",DATOS!G24,"INTERVENTOR")</f>
        <v>INTERVENTOR</v>
      </c>
      <c r="F124" s="86"/>
      <c r="G124" s="85"/>
      <c r="H124" s="85"/>
      <c r="I124" s="85"/>
      <c r="J124" s="85" t="s">
        <v>330</v>
      </c>
      <c r="K124" s="85"/>
      <c r="L124" s="85"/>
      <c r="M124" s="108"/>
    </row>
    <row r="125" spans="1:13">
      <c r="A125" s="84"/>
      <c r="B125" s="85" t="str">
        <f>IF(DATOS!E16="Persona jurídica","CONTRATISTA"," ")</f>
        <v xml:space="preserve"> </v>
      </c>
      <c r="C125" s="84"/>
      <c r="D125" s="86"/>
      <c r="E125" s="127" t="str">
        <f>IF(DATOS!E24="Persona jurídica","INTERVENTOR"," ")</f>
        <v xml:space="preserve"> </v>
      </c>
      <c r="F125" s="86"/>
      <c r="G125" s="85"/>
      <c r="H125" s="85"/>
      <c r="I125" s="85"/>
      <c r="J125" s="85" t="s">
        <v>270</v>
      </c>
      <c r="K125" s="85"/>
      <c r="L125" s="85"/>
      <c r="M125" s="108"/>
    </row>
    <row r="126" spans="1:13">
      <c r="A126" s="84"/>
      <c r="B126" s="85"/>
      <c r="C126" s="84"/>
      <c r="D126" s="86"/>
      <c r="E126" s="86"/>
      <c r="F126" s="86"/>
      <c r="G126" s="85"/>
      <c r="H126" s="85"/>
      <c r="I126" s="85"/>
      <c r="J126" s="85"/>
      <c r="K126" s="85"/>
      <c r="L126" s="85"/>
      <c r="M126" s="108"/>
    </row>
    <row r="127" spans="1:13">
      <c r="A127" s="84"/>
      <c r="B127" s="85"/>
      <c r="C127" s="84"/>
      <c r="D127" s="86"/>
      <c r="E127" s="86"/>
      <c r="F127" s="86"/>
      <c r="G127" s="85"/>
      <c r="H127" s="85"/>
      <c r="I127" s="85"/>
      <c r="J127" s="85"/>
      <c r="K127" s="85"/>
      <c r="L127" s="85"/>
      <c r="M127" s="108"/>
    </row>
    <row r="128" spans="1:13">
      <c r="A128" s="84"/>
      <c r="B128" s="85"/>
      <c r="C128" s="84"/>
      <c r="D128" s="86"/>
      <c r="E128" s="86"/>
      <c r="F128" s="86"/>
      <c r="G128" s="85"/>
      <c r="H128" s="85"/>
      <c r="I128" s="85"/>
      <c r="J128" s="85"/>
      <c r="K128" s="85"/>
      <c r="L128" s="85"/>
      <c r="M128" s="108"/>
    </row>
    <row r="129" spans="1:13">
      <c r="A129" s="84"/>
      <c r="B129" s="85"/>
      <c r="C129" s="84"/>
      <c r="D129" s="86"/>
      <c r="E129" s="86"/>
      <c r="F129" s="86"/>
      <c r="G129" s="85"/>
      <c r="H129" s="85"/>
      <c r="I129" s="85"/>
      <c r="J129" s="85"/>
      <c r="K129" s="85"/>
      <c r="L129" s="85"/>
      <c r="M129" s="108"/>
    </row>
    <row r="130" spans="1:13">
      <c r="A130" s="84"/>
      <c r="B130" s="85"/>
      <c r="C130" s="84"/>
      <c r="D130" s="86"/>
      <c r="E130" s="86"/>
      <c r="F130" s="86"/>
      <c r="G130" s="85"/>
      <c r="H130" s="85"/>
      <c r="I130" s="85"/>
      <c r="J130" s="85"/>
      <c r="K130" s="85"/>
      <c r="L130" s="85"/>
      <c r="M130" s="108"/>
    </row>
    <row r="131" spans="1:13">
      <c r="A131" s="84"/>
      <c r="B131" s="85"/>
      <c r="C131" s="84"/>
      <c r="D131" s="86"/>
      <c r="E131" s="86"/>
      <c r="F131" s="86"/>
      <c r="G131" s="85"/>
      <c r="H131" s="85"/>
      <c r="I131" s="85"/>
      <c r="J131" s="85"/>
      <c r="K131" s="85"/>
      <c r="L131" s="85"/>
      <c r="M131" s="108"/>
    </row>
    <row r="132" spans="1:13">
      <c r="A132" s="84"/>
      <c r="B132" s="85"/>
      <c r="C132" s="84"/>
      <c r="D132" s="86"/>
      <c r="E132" s="86"/>
      <c r="F132" s="86"/>
      <c r="G132" s="85"/>
      <c r="H132" s="85"/>
      <c r="I132" s="85"/>
      <c r="J132" s="85"/>
      <c r="K132" s="85"/>
      <c r="L132" s="85"/>
      <c r="M132" s="108"/>
    </row>
    <row r="133" spans="1:13">
      <c r="A133" s="84"/>
      <c r="B133" s="85"/>
      <c r="C133" s="84"/>
      <c r="D133" s="86"/>
      <c r="E133" s="86"/>
      <c r="F133" s="86"/>
      <c r="G133" s="85"/>
      <c r="H133" s="85"/>
      <c r="I133" s="85"/>
      <c r="J133" s="85"/>
      <c r="K133" s="85"/>
      <c r="L133" s="85"/>
      <c r="M133" s="108"/>
    </row>
    <row r="134" spans="1:13">
      <c r="A134" s="84"/>
      <c r="B134" s="85"/>
      <c r="C134" s="84"/>
      <c r="D134" s="86"/>
      <c r="E134" s="86"/>
      <c r="F134" s="86"/>
      <c r="G134" s="85"/>
      <c r="H134" s="85"/>
      <c r="I134" s="85"/>
      <c r="J134" s="85"/>
      <c r="K134" s="85"/>
      <c r="L134" s="85"/>
      <c r="M134" s="108"/>
    </row>
    <row r="135" spans="1:13">
      <c r="A135" s="84"/>
      <c r="B135" s="85"/>
      <c r="C135" s="84"/>
      <c r="D135" s="86"/>
      <c r="E135" s="86"/>
      <c r="F135" s="86"/>
      <c r="G135" s="85"/>
      <c r="H135" s="85"/>
      <c r="I135" s="85"/>
      <c r="J135" s="85"/>
      <c r="K135" s="85"/>
      <c r="L135" s="85"/>
      <c r="M135" s="108"/>
    </row>
    <row r="136" spans="1:13">
      <c r="A136" s="84"/>
      <c r="B136" s="85"/>
      <c r="C136" s="84"/>
      <c r="D136" s="86"/>
      <c r="E136" s="86"/>
      <c r="F136" s="86"/>
      <c r="G136" s="85"/>
      <c r="H136" s="85"/>
      <c r="I136" s="85"/>
      <c r="J136" s="85"/>
      <c r="K136" s="85"/>
      <c r="L136" s="85"/>
      <c r="M136" s="108"/>
    </row>
    <row r="137" spans="1:13">
      <c r="A137" s="84"/>
      <c r="B137" s="85"/>
      <c r="C137" s="84"/>
      <c r="D137" s="86"/>
      <c r="E137" s="86"/>
      <c r="F137" s="86"/>
      <c r="G137" s="85"/>
      <c r="H137" s="85"/>
      <c r="I137" s="85"/>
      <c r="J137" s="85"/>
      <c r="K137" s="85"/>
      <c r="L137" s="85"/>
      <c r="M137" s="108"/>
    </row>
    <row r="138" spans="1:13">
      <c r="A138" s="84"/>
      <c r="B138" s="85"/>
      <c r="C138" s="84"/>
      <c r="D138" s="86"/>
      <c r="E138" s="86"/>
      <c r="F138" s="86"/>
      <c r="G138" s="85"/>
      <c r="H138" s="85"/>
      <c r="I138" s="85"/>
      <c r="J138" s="85"/>
      <c r="K138" s="85"/>
      <c r="L138" s="85"/>
      <c r="M138" s="108"/>
    </row>
    <row r="139" spans="1:13">
      <c r="A139" s="84"/>
      <c r="B139" s="85"/>
      <c r="C139" s="84"/>
      <c r="D139" s="86"/>
      <c r="E139" s="86"/>
      <c r="F139" s="86"/>
      <c r="G139" s="85"/>
      <c r="H139" s="85"/>
      <c r="I139" s="85"/>
      <c r="J139" s="85"/>
      <c r="K139" s="85"/>
      <c r="L139" s="85"/>
      <c r="M139" s="108"/>
    </row>
    <row r="140" spans="1:13">
      <c r="A140" s="84"/>
      <c r="B140" s="85"/>
      <c r="C140" s="84"/>
      <c r="D140" s="86"/>
      <c r="E140" s="86"/>
      <c r="F140" s="86"/>
      <c r="G140" s="85"/>
      <c r="H140" s="85"/>
      <c r="I140" s="85"/>
      <c r="J140" s="85"/>
      <c r="K140" s="85"/>
      <c r="L140" s="85"/>
      <c r="M140" s="108"/>
    </row>
    <row r="141" spans="1:13">
      <c r="A141" s="84"/>
      <c r="B141" s="85"/>
      <c r="C141" s="84"/>
      <c r="D141" s="86"/>
      <c r="E141" s="86"/>
      <c r="F141" s="86"/>
      <c r="G141" s="85"/>
      <c r="H141" s="85"/>
      <c r="I141" s="85"/>
      <c r="J141" s="85"/>
      <c r="K141" s="85"/>
      <c r="L141" s="85"/>
      <c r="M141" s="108"/>
    </row>
    <row r="142" spans="1:13">
      <c r="A142" s="84"/>
      <c r="B142" s="85"/>
      <c r="C142" s="84"/>
      <c r="D142" s="86"/>
      <c r="E142" s="86"/>
      <c r="F142" s="86"/>
      <c r="G142" s="85"/>
      <c r="H142" s="85"/>
      <c r="I142" s="85"/>
      <c r="J142" s="85"/>
      <c r="K142" s="85"/>
      <c r="L142" s="85"/>
      <c r="M142" s="108"/>
    </row>
    <row r="143" spans="1:13">
      <c r="A143" s="84"/>
      <c r="B143" s="85"/>
      <c r="C143" s="84"/>
      <c r="D143" s="86"/>
      <c r="E143" s="86"/>
      <c r="F143" s="86"/>
      <c r="G143" s="85"/>
      <c r="H143" s="85"/>
      <c r="I143" s="85"/>
      <c r="J143" s="85"/>
      <c r="K143" s="85"/>
      <c r="L143" s="85"/>
      <c r="M143" s="108"/>
    </row>
    <row r="144" spans="1:13">
      <c r="A144" s="84"/>
      <c r="B144" s="85"/>
      <c r="C144" s="84"/>
      <c r="D144" s="86"/>
      <c r="E144" s="86"/>
      <c r="F144" s="86"/>
      <c r="G144" s="85"/>
      <c r="H144" s="85"/>
      <c r="I144" s="85"/>
      <c r="J144" s="85"/>
      <c r="K144" s="85"/>
      <c r="L144" s="85"/>
      <c r="M144" s="108"/>
    </row>
    <row r="145" spans="1:13">
      <c r="A145" s="84"/>
      <c r="B145" s="85"/>
      <c r="C145" s="84"/>
      <c r="D145" s="86"/>
      <c r="E145" s="86"/>
      <c r="F145" s="86"/>
      <c r="G145" s="85"/>
      <c r="H145" s="85"/>
      <c r="I145" s="85"/>
      <c r="J145" s="85"/>
      <c r="K145" s="85"/>
      <c r="L145" s="85"/>
      <c r="M145" s="108"/>
    </row>
    <row r="146" spans="1:13">
      <c r="A146" s="84"/>
      <c r="B146" s="85"/>
      <c r="C146" s="84"/>
      <c r="D146" s="86"/>
      <c r="E146" s="86"/>
      <c r="F146" s="86"/>
      <c r="G146" s="85"/>
      <c r="H146" s="85"/>
      <c r="I146" s="85"/>
      <c r="J146" s="85"/>
      <c r="K146" s="85"/>
      <c r="L146" s="85"/>
      <c r="M146" s="108"/>
    </row>
    <row r="147" spans="1:13">
      <c r="A147" s="84"/>
      <c r="B147" s="85"/>
      <c r="C147" s="84"/>
      <c r="D147" s="86"/>
      <c r="E147" s="86"/>
      <c r="F147" s="86"/>
      <c r="G147" s="85"/>
      <c r="H147" s="85"/>
      <c r="I147" s="85"/>
      <c r="J147" s="85"/>
      <c r="K147" s="85"/>
      <c r="L147" s="85"/>
      <c r="M147" s="108"/>
    </row>
    <row r="148" spans="1:13">
      <c r="A148" s="84"/>
      <c r="B148" s="85"/>
      <c r="C148" s="84"/>
      <c r="D148" s="86"/>
      <c r="E148" s="86"/>
      <c r="F148" s="86"/>
      <c r="G148" s="85"/>
      <c r="H148" s="85"/>
      <c r="I148" s="85"/>
      <c r="J148" s="85"/>
      <c r="K148" s="85"/>
      <c r="L148" s="85"/>
      <c r="M148" s="108"/>
    </row>
    <row r="149" spans="1:13">
      <c r="A149" s="84"/>
      <c r="B149" s="85"/>
      <c r="C149" s="84"/>
      <c r="D149" s="86"/>
      <c r="E149" s="86"/>
      <c r="F149" s="86"/>
      <c r="G149" s="85"/>
      <c r="H149" s="85"/>
      <c r="I149" s="85"/>
      <c r="J149" s="85"/>
      <c r="K149" s="85"/>
      <c r="L149" s="85"/>
      <c r="M149" s="108"/>
    </row>
    <row r="150" spans="1:13">
      <c r="A150" s="84"/>
      <c r="B150" s="85"/>
      <c r="C150" s="84"/>
      <c r="D150" s="86"/>
      <c r="E150" s="86"/>
      <c r="F150" s="86"/>
      <c r="G150" s="85"/>
      <c r="H150" s="85"/>
      <c r="I150" s="85"/>
      <c r="J150" s="85"/>
      <c r="K150" s="85"/>
      <c r="L150" s="85"/>
      <c r="M150" s="108"/>
    </row>
    <row r="151" spans="1:13">
      <c r="A151" s="84"/>
      <c r="B151" s="85"/>
      <c r="C151" s="84"/>
      <c r="D151" s="86"/>
      <c r="E151" s="86"/>
      <c r="F151" s="86"/>
      <c r="G151" s="85"/>
      <c r="H151" s="85"/>
      <c r="I151" s="85"/>
      <c r="J151" s="85"/>
      <c r="K151" s="85"/>
      <c r="L151" s="85"/>
      <c r="M151" s="108"/>
    </row>
    <row r="152" spans="1:13">
      <c r="A152" s="84"/>
      <c r="B152" s="85"/>
      <c r="C152" s="84"/>
      <c r="D152" s="86"/>
      <c r="E152" s="86"/>
      <c r="F152" s="86"/>
      <c r="G152" s="85"/>
      <c r="H152" s="85"/>
      <c r="I152" s="85"/>
      <c r="J152" s="85"/>
      <c r="K152" s="85"/>
      <c r="L152" s="85"/>
      <c r="M152" s="108"/>
    </row>
    <row r="153" spans="1:13">
      <c r="A153" s="84"/>
      <c r="B153" s="85"/>
      <c r="C153" s="84"/>
      <c r="D153" s="86"/>
      <c r="E153" s="86"/>
      <c r="F153" s="86"/>
      <c r="G153" s="85"/>
      <c r="H153" s="85"/>
      <c r="I153" s="85"/>
      <c r="J153" s="85"/>
      <c r="K153" s="85"/>
      <c r="L153" s="85"/>
      <c r="M153" s="108"/>
    </row>
    <row r="154" spans="1:13">
      <c r="A154" s="84"/>
      <c r="B154" s="85"/>
      <c r="C154" s="84"/>
      <c r="D154" s="86"/>
      <c r="E154" s="86"/>
      <c r="F154" s="86"/>
      <c r="G154" s="85"/>
      <c r="H154" s="85"/>
      <c r="I154" s="85"/>
      <c r="J154" s="85"/>
      <c r="K154" s="85"/>
      <c r="L154" s="85"/>
      <c r="M154" s="108"/>
    </row>
    <row r="155" spans="1:13">
      <c r="A155" s="84"/>
      <c r="B155" s="85"/>
      <c r="C155" s="84"/>
      <c r="D155" s="86"/>
      <c r="E155" s="86"/>
      <c r="F155" s="86"/>
      <c r="G155" s="85"/>
      <c r="H155" s="85"/>
      <c r="I155" s="85"/>
      <c r="J155" s="85"/>
      <c r="K155" s="85"/>
      <c r="L155" s="85"/>
      <c r="M155" s="108"/>
    </row>
    <row r="156" spans="1:13">
      <c r="A156" s="84"/>
      <c r="B156" s="85"/>
      <c r="C156" s="84"/>
      <c r="D156" s="86"/>
      <c r="E156" s="86"/>
      <c r="F156" s="86"/>
      <c r="G156" s="85"/>
      <c r="H156" s="85"/>
      <c r="I156" s="85"/>
      <c r="J156" s="85"/>
      <c r="K156" s="85"/>
      <c r="L156" s="85"/>
      <c r="M156" s="108"/>
    </row>
    <row r="157" spans="1:13">
      <c r="A157" s="84"/>
      <c r="B157" s="85"/>
      <c r="C157" s="84"/>
      <c r="D157" s="86"/>
      <c r="E157" s="86"/>
      <c r="F157" s="86"/>
      <c r="G157" s="85"/>
      <c r="H157" s="85"/>
      <c r="I157" s="85"/>
      <c r="J157" s="85"/>
      <c r="K157" s="85"/>
      <c r="L157" s="85"/>
      <c r="M157" s="108"/>
    </row>
    <row r="158" spans="1:13">
      <c r="A158" s="84"/>
      <c r="B158" s="85"/>
      <c r="C158" s="84"/>
      <c r="D158" s="86"/>
      <c r="E158" s="86"/>
      <c r="F158" s="86"/>
      <c r="G158" s="85"/>
      <c r="H158" s="85"/>
      <c r="I158" s="85"/>
      <c r="J158" s="85"/>
      <c r="K158" s="85"/>
      <c r="L158" s="85"/>
      <c r="M158" s="108"/>
    </row>
    <row r="159" spans="1:13">
      <c r="A159" s="84"/>
      <c r="B159" s="85"/>
      <c r="C159" s="84"/>
      <c r="D159" s="86"/>
      <c r="E159" s="86"/>
      <c r="F159" s="86"/>
      <c r="G159" s="85"/>
      <c r="H159" s="85"/>
      <c r="I159" s="85"/>
      <c r="J159" s="85"/>
      <c r="K159" s="85"/>
      <c r="L159" s="85"/>
      <c r="M159" s="108"/>
    </row>
    <row r="160" spans="1:13">
      <c r="A160" s="84"/>
      <c r="B160" s="85"/>
      <c r="C160" s="84"/>
      <c r="D160" s="86"/>
      <c r="E160" s="86"/>
      <c r="F160" s="86"/>
      <c r="G160" s="85"/>
      <c r="H160" s="85"/>
      <c r="I160" s="85"/>
      <c r="J160" s="85"/>
      <c r="K160" s="85"/>
      <c r="L160" s="85"/>
      <c r="M160" s="108"/>
    </row>
  </sheetData>
  <mergeCells count="31">
    <mergeCell ref="B116:L116"/>
    <mergeCell ref="B69:C69"/>
    <mergeCell ref="B84:C84"/>
    <mergeCell ref="B86:C86"/>
    <mergeCell ref="B88:C88"/>
    <mergeCell ref="B90:C90"/>
    <mergeCell ref="C113:L113"/>
    <mergeCell ref="K12:L13"/>
    <mergeCell ref="F13:G13"/>
    <mergeCell ref="A15:A16"/>
    <mergeCell ref="B15:B16"/>
    <mergeCell ref="C15:F15"/>
    <mergeCell ref="G15:H15"/>
    <mergeCell ref="I15:J15"/>
    <mergeCell ref="K15:L15"/>
    <mergeCell ref="A10:A13"/>
    <mergeCell ref="B10:B13"/>
    <mergeCell ref="F10:G10"/>
    <mergeCell ref="F11:G11"/>
    <mergeCell ref="F12:G12"/>
    <mergeCell ref="K4:L11"/>
    <mergeCell ref="A1:B9"/>
    <mergeCell ref="C1:J1"/>
    <mergeCell ref="F7:G7"/>
    <mergeCell ref="F8:G8"/>
    <mergeCell ref="F9:G9"/>
    <mergeCell ref="F2:G2"/>
    <mergeCell ref="F3:G3"/>
    <mergeCell ref="F4:G4"/>
    <mergeCell ref="F5:G5"/>
    <mergeCell ref="F6:G6"/>
  </mergeCells>
  <conditionalFormatting sqref="F11:G11">
    <cfRule type="expression" dxfId="305" priority="23">
      <formula>$F$11&gt;0</formula>
    </cfRule>
  </conditionalFormatting>
  <conditionalFormatting sqref="F12:G12">
    <cfRule type="expression" dxfId="304" priority="22">
      <formula>$F$12&gt;0</formula>
    </cfRule>
  </conditionalFormatting>
  <conditionalFormatting sqref="F13:G13">
    <cfRule type="expression" dxfId="303" priority="21">
      <formula>$F$13&gt;0</formula>
    </cfRule>
  </conditionalFormatting>
  <conditionalFormatting sqref="J3">
    <cfRule type="expression" dxfId="302" priority="20">
      <formula>$J$3&gt;0</formula>
    </cfRule>
  </conditionalFormatting>
  <conditionalFormatting sqref="J4">
    <cfRule type="expression" dxfId="301" priority="19">
      <formula>$J$4&gt;0</formula>
    </cfRule>
  </conditionalFormatting>
  <conditionalFormatting sqref="J5">
    <cfRule type="expression" dxfId="300" priority="18">
      <formula>$J$5&gt;0</formula>
    </cfRule>
  </conditionalFormatting>
  <conditionalFormatting sqref="J6">
    <cfRule type="expression" dxfId="299" priority="17">
      <formula>$J$6&gt;0</formula>
    </cfRule>
  </conditionalFormatting>
  <conditionalFormatting sqref="J7">
    <cfRule type="expression" dxfId="298" priority="16">
      <formula>$J$7&gt;0</formula>
    </cfRule>
  </conditionalFormatting>
  <conditionalFormatting sqref="J8">
    <cfRule type="expression" dxfId="297" priority="15">
      <formula>$J$8&gt;0</formula>
    </cfRule>
  </conditionalFormatting>
  <conditionalFormatting sqref="J9">
    <cfRule type="expression" dxfId="296" priority="14">
      <formula>$J$9&gt;0</formula>
    </cfRule>
  </conditionalFormatting>
  <conditionalFormatting sqref="J10">
    <cfRule type="expression" dxfId="295" priority="12">
      <formula>$J$10&gt;0</formula>
    </cfRule>
    <cfRule type="expression" dxfId="294" priority="13">
      <formula>$J$10&gt;0</formula>
    </cfRule>
  </conditionalFormatting>
  <conditionalFormatting sqref="J11">
    <cfRule type="expression" dxfId="293" priority="11">
      <formula>$J$11&gt;0</formula>
    </cfRule>
  </conditionalFormatting>
  <conditionalFormatting sqref="J12">
    <cfRule type="expression" dxfId="292" priority="10">
      <formula>$J$12&gt;0</formula>
    </cfRule>
  </conditionalFormatting>
  <conditionalFormatting sqref="F4:G4">
    <cfRule type="expression" dxfId="291" priority="9">
      <formula>$F$4=" "</formula>
    </cfRule>
  </conditionalFormatting>
  <conditionalFormatting sqref="F6:G6">
    <cfRule type="expression" dxfId="290" priority="8">
      <formula>$F$6=" "</formula>
    </cfRule>
  </conditionalFormatting>
  <conditionalFormatting sqref="I17:I19">
    <cfRule type="expression" dxfId="289" priority="7">
      <formula>I17&gt;G17</formula>
    </cfRule>
  </conditionalFormatting>
  <conditionalFormatting sqref="I61 I63">
    <cfRule type="expression" dxfId="288" priority="6">
      <formula>I61&gt;G61</formula>
    </cfRule>
  </conditionalFormatting>
  <conditionalFormatting sqref="I71 I80">
    <cfRule type="expression" dxfId="287" priority="5">
      <formula>I71&gt;G71</formula>
    </cfRule>
  </conditionalFormatting>
  <conditionalFormatting sqref="I20:I60 I72:I78">
    <cfRule type="expression" dxfId="286" priority="4">
      <formula>$K20&gt;$G20</formula>
    </cfRule>
  </conditionalFormatting>
  <conditionalFormatting sqref="I62">
    <cfRule type="expression" dxfId="285" priority="3">
      <formula>I62&gt;G62</formula>
    </cfRule>
  </conditionalFormatting>
  <conditionalFormatting sqref="I79">
    <cfRule type="expression" dxfId="284" priority="2">
      <formula>I79&gt;G79</formula>
    </cfRule>
  </conditionalFormatting>
  <conditionalFormatting sqref="F107">
    <cfRule type="expression" dxfId="283" priority="1">
      <formula>$F$107&lt;&gt;$L$91</formula>
    </cfRule>
  </conditionalFormatting>
  <printOptions horizontalCentered="1"/>
  <pageMargins left="0.43307086614173229" right="0.43307086614173229" top="0.59055118110236227" bottom="0.59055118110236227" header="0.31496062992125984" footer="0.31496062992125984"/>
  <pageSetup scale="64" orientation="landscape" r:id="rId1"/>
  <headerFooter>
    <oddFooter>&amp;C&amp;"-,Cursiva"&amp;10&amp;A&amp;R&amp;"-,Cursiva"&amp;10Página &amp;P de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M161"/>
  <sheetViews>
    <sheetView topLeftCell="A39" zoomScaleNormal="100" workbookViewId="0">
      <selection activeCell="I54" sqref="I54"/>
    </sheetView>
  </sheetViews>
  <sheetFormatPr baseColWidth="10" defaultColWidth="13.7109375" defaultRowHeight="12"/>
  <cols>
    <col min="1" max="1" width="7.7109375" style="81" customWidth="1"/>
    <col min="2" max="2" width="54.5703125" style="82" customWidth="1"/>
    <col min="3" max="3" width="5.7109375" style="81" customWidth="1"/>
    <col min="4" max="4" width="9.140625" style="83" customWidth="1"/>
    <col min="5" max="5" width="14.7109375" style="83" customWidth="1"/>
    <col min="6" max="6" width="15.85546875" style="83" customWidth="1"/>
    <col min="7" max="7" width="13.42578125" style="82" customWidth="1"/>
    <col min="8" max="8" width="14.7109375" style="82" customWidth="1"/>
    <col min="9" max="9" width="13.28515625" style="82" customWidth="1"/>
    <col min="10" max="10" width="21.28515625" style="82" customWidth="1"/>
    <col min="11" max="12" width="15.28515625" style="82" customWidth="1"/>
    <col min="13" max="13" width="4.7109375" style="82" customWidth="1"/>
    <col min="14" max="16384" width="13.7109375" style="82"/>
  </cols>
  <sheetData>
    <row r="1" spans="1:12" ht="14.45" customHeight="1">
      <c r="A1" s="1049" t="s">
        <v>246</v>
      </c>
      <c r="B1" s="1050"/>
      <c r="C1" s="1051" t="str">
        <f>"MUNICIPIO DE "&amp;DATOS!E8</f>
        <v xml:space="preserve">MUNICIPIO DE </v>
      </c>
      <c r="D1" s="1052"/>
      <c r="E1" s="1052"/>
      <c r="F1" s="1052"/>
      <c r="G1" s="1052"/>
      <c r="H1" s="1052"/>
      <c r="I1" s="1052"/>
      <c r="J1" s="1052"/>
      <c r="K1" s="129" t="s">
        <v>90</v>
      </c>
      <c r="L1" s="130" t="s">
        <v>84</v>
      </c>
    </row>
    <row r="2" spans="1:12" ht="12" customHeight="1">
      <c r="A2" s="1050"/>
      <c r="B2" s="1050"/>
      <c r="C2" s="103" t="str">
        <f>DATOS!E10&amp;" No.:"</f>
        <v xml:space="preserve"> No.:</v>
      </c>
      <c r="D2" s="104"/>
      <c r="E2" s="105"/>
      <c r="F2" s="1053" t="str">
        <f>DATOS!E12&amp;" "&amp;DATOS!G12&amp;" "&amp;DATOS!I12</f>
        <v xml:space="preserve">  </v>
      </c>
      <c r="G2" s="1055"/>
      <c r="H2" s="103" t="s">
        <v>184</v>
      </c>
      <c r="I2" s="105"/>
      <c r="J2" s="109">
        <f>DATOS!E52</f>
        <v>0</v>
      </c>
      <c r="K2" s="129" t="s">
        <v>89</v>
      </c>
      <c r="L2" s="130" t="s">
        <v>248</v>
      </c>
    </row>
    <row r="3" spans="1:12" ht="12" customHeight="1">
      <c r="A3" s="1050"/>
      <c r="B3" s="1050"/>
      <c r="C3" s="98" t="s">
        <v>4</v>
      </c>
      <c r="D3" s="99"/>
      <c r="E3" s="100"/>
      <c r="F3" s="1053">
        <f>DATOS!G16</f>
        <v>0</v>
      </c>
      <c r="G3" s="1055"/>
      <c r="H3" s="103" t="s">
        <v>236</v>
      </c>
      <c r="I3" s="105"/>
      <c r="J3" s="110">
        <f>DATOS!E72</f>
        <v>42428</v>
      </c>
      <c r="K3" s="129" t="s">
        <v>247</v>
      </c>
      <c r="L3" s="130" t="s">
        <v>249</v>
      </c>
    </row>
    <row r="4" spans="1:12" ht="12" customHeight="1">
      <c r="A4" s="1050"/>
      <c r="B4" s="1050"/>
      <c r="C4" s="98" t="s">
        <v>5</v>
      </c>
      <c r="D4" s="99"/>
      <c r="E4" s="100"/>
      <c r="F4" s="1053" t="str">
        <f>IF(DATOS!E16="Persona Jurídica",DATOS!G20," ")</f>
        <v xml:space="preserve"> </v>
      </c>
      <c r="G4" s="1055"/>
      <c r="H4" s="103" t="s">
        <v>241</v>
      </c>
      <c r="I4" s="105"/>
      <c r="J4" s="106">
        <f>DATOS!E74</f>
        <v>42459</v>
      </c>
      <c r="K4" s="1062" t="s">
        <v>374</v>
      </c>
      <c r="L4" s="1063"/>
    </row>
    <row r="5" spans="1:12" ht="12" customHeight="1">
      <c r="A5" s="1050"/>
      <c r="B5" s="1050"/>
      <c r="C5" s="98" t="s">
        <v>105</v>
      </c>
      <c r="D5" s="99"/>
      <c r="E5" s="100"/>
      <c r="F5" s="1053">
        <f>LOOKUP(C5,DATOS!C24:C30,DATOS!G24:G30)</f>
        <v>0</v>
      </c>
      <c r="G5" s="1055"/>
      <c r="H5" s="103" t="s">
        <v>237</v>
      </c>
      <c r="I5" s="105"/>
      <c r="J5" s="106">
        <f>DATOS!E78</f>
        <v>42491</v>
      </c>
      <c r="K5" s="1062"/>
      <c r="L5" s="1063"/>
    </row>
    <row r="6" spans="1:12" ht="12" customHeight="1">
      <c r="A6" s="1050"/>
      <c r="B6" s="1050"/>
      <c r="C6" s="98" t="s">
        <v>5</v>
      </c>
      <c r="D6" s="99"/>
      <c r="E6" s="100"/>
      <c r="F6" s="1053" t="str">
        <f>IF(DATOS!E24="Persona Jurídica",DATOS!G28," ")</f>
        <v xml:space="preserve"> </v>
      </c>
      <c r="G6" s="1055"/>
      <c r="H6" s="103" t="s">
        <v>242</v>
      </c>
      <c r="I6" s="105"/>
      <c r="J6" s="106">
        <f>DATOS!E80</f>
        <v>42916</v>
      </c>
      <c r="K6" s="1062"/>
      <c r="L6" s="1063"/>
    </row>
    <row r="7" spans="1:12" ht="12" customHeight="1">
      <c r="A7" s="1050"/>
      <c r="B7" s="1050"/>
      <c r="C7" s="98" t="s">
        <v>185</v>
      </c>
      <c r="D7" s="99"/>
      <c r="E7" s="100"/>
      <c r="F7" s="1041">
        <f>DATOS!E46</f>
        <v>0</v>
      </c>
      <c r="G7" s="1043"/>
      <c r="H7" s="103" t="s">
        <v>238</v>
      </c>
      <c r="I7" s="105"/>
      <c r="J7" s="106">
        <f>DATOS!E84</f>
        <v>42541</v>
      </c>
      <c r="K7" s="1062"/>
      <c r="L7" s="1063"/>
    </row>
    <row r="8" spans="1:12" ht="12" customHeight="1">
      <c r="A8" s="1050"/>
      <c r="B8" s="1050"/>
      <c r="C8" s="98" t="s">
        <v>77</v>
      </c>
      <c r="D8" s="99"/>
      <c r="E8" s="100"/>
      <c r="F8" s="1041">
        <f>DATOS!E60</f>
        <v>30000000</v>
      </c>
      <c r="G8" s="1043"/>
      <c r="H8" s="103" t="s">
        <v>243</v>
      </c>
      <c r="I8" s="105"/>
      <c r="J8" s="106">
        <f>DATOS!E86</f>
        <v>42546</v>
      </c>
      <c r="K8" s="1062"/>
      <c r="L8" s="1063"/>
    </row>
    <row r="9" spans="1:12" ht="12" customHeight="1">
      <c r="A9" s="1050"/>
      <c r="B9" s="1050"/>
      <c r="C9" s="98" t="s">
        <v>78</v>
      </c>
      <c r="D9" s="99"/>
      <c r="E9" s="100"/>
      <c r="F9" s="1041">
        <f>DATOS!E62</f>
        <v>0</v>
      </c>
      <c r="G9" s="1043"/>
      <c r="H9" s="103" t="s">
        <v>239</v>
      </c>
      <c r="I9" s="105"/>
      <c r="J9" s="106">
        <f>DATOS!E90</f>
        <v>0</v>
      </c>
      <c r="K9" s="1062"/>
      <c r="L9" s="1063"/>
    </row>
    <row r="10" spans="1:12" ht="12" customHeight="1">
      <c r="A10" s="1044" t="s">
        <v>8</v>
      </c>
      <c r="B10" s="1045">
        <f>DATOS!E38</f>
        <v>0</v>
      </c>
      <c r="C10" s="98" t="s">
        <v>186</v>
      </c>
      <c r="D10" s="99"/>
      <c r="E10" s="100"/>
      <c r="F10" s="1041">
        <f>F7+F8+F9</f>
        <v>30000000</v>
      </c>
      <c r="G10" s="1043"/>
      <c r="H10" s="103" t="s">
        <v>244</v>
      </c>
      <c r="I10" s="105"/>
      <c r="J10" s="106">
        <f>DATOS!E92</f>
        <v>0</v>
      </c>
      <c r="K10" s="1062"/>
      <c r="L10" s="1063"/>
    </row>
    <row r="11" spans="1:12" ht="12" customHeight="1">
      <c r="A11" s="1044"/>
      <c r="B11" s="1045"/>
      <c r="C11" s="98" t="s">
        <v>233</v>
      </c>
      <c r="D11" s="99"/>
      <c r="E11" s="100"/>
      <c r="F11" s="1046">
        <f>DATOS!E174</f>
        <v>42602</v>
      </c>
      <c r="G11" s="1048"/>
      <c r="H11" s="103" t="s">
        <v>240</v>
      </c>
      <c r="I11" s="105"/>
      <c r="J11" s="106"/>
      <c r="K11" s="1064"/>
      <c r="L11" s="1065"/>
    </row>
    <row r="12" spans="1:12" ht="12" customHeight="1">
      <c r="A12" s="1044"/>
      <c r="B12" s="1045"/>
      <c r="C12" s="98" t="s">
        <v>234</v>
      </c>
      <c r="D12" s="99"/>
      <c r="E12" s="100"/>
      <c r="F12" s="1046">
        <f>DATOS!E176</f>
        <v>0</v>
      </c>
      <c r="G12" s="1048"/>
      <c r="H12" s="103" t="s">
        <v>245</v>
      </c>
      <c r="I12" s="105"/>
      <c r="J12" s="106"/>
      <c r="K12" s="1073">
        <f>DATOS!E150</f>
        <v>0</v>
      </c>
      <c r="L12" s="1074"/>
    </row>
    <row r="13" spans="1:12" ht="12" customHeight="1">
      <c r="A13" s="1044"/>
      <c r="B13" s="1045"/>
      <c r="C13" s="98" t="s">
        <v>235</v>
      </c>
      <c r="D13" s="99"/>
      <c r="E13" s="100"/>
      <c r="F13" s="1046">
        <f>DATOS!E178</f>
        <v>0</v>
      </c>
      <c r="G13" s="1048"/>
      <c r="H13" s="103" t="s">
        <v>72</v>
      </c>
      <c r="I13" s="105"/>
      <c r="J13" s="107">
        <f>DATOS!E132</f>
        <v>614</v>
      </c>
      <c r="K13" s="1075"/>
      <c r="L13" s="1076"/>
    </row>
    <row r="14" spans="1:12">
      <c r="A14" s="84"/>
      <c r="B14" s="85"/>
      <c r="C14" s="84"/>
      <c r="D14" s="86"/>
      <c r="E14" s="86"/>
      <c r="F14" s="86"/>
      <c r="G14" s="85"/>
      <c r="H14" s="85"/>
      <c r="I14" s="85"/>
      <c r="J14" s="85"/>
      <c r="K14" s="85"/>
      <c r="L14" s="85"/>
    </row>
    <row r="15" spans="1:12">
      <c r="A15" s="1040" t="s">
        <v>181</v>
      </c>
      <c r="B15" s="1040" t="s">
        <v>115</v>
      </c>
      <c r="C15" s="1147" t="s">
        <v>182</v>
      </c>
      <c r="D15" s="1148"/>
      <c r="E15" s="1148"/>
      <c r="F15" s="1149"/>
      <c r="G15" s="1139" t="s">
        <v>187</v>
      </c>
      <c r="H15" s="1140"/>
      <c r="I15" s="1141" t="s">
        <v>188</v>
      </c>
      <c r="J15" s="1142"/>
      <c r="K15" s="1143" t="s">
        <v>189</v>
      </c>
      <c r="L15" s="1143"/>
    </row>
    <row r="16" spans="1:12">
      <c r="A16" s="1040"/>
      <c r="B16" s="1040"/>
      <c r="C16" s="319" t="s">
        <v>164</v>
      </c>
      <c r="D16" s="96" t="s">
        <v>118</v>
      </c>
      <c r="E16" s="96" t="s">
        <v>180</v>
      </c>
      <c r="F16" s="96" t="s">
        <v>117</v>
      </c>
      <c r="G16" s="101" t="s">
        <v>317</v>
      </c>
      <c r="H16" s="101" t="s">
        <v>117</v>
      </c>
      <c r="I16" s="131" t="s">
        <v>317</v>
      </c>
      <c r="J16" s="131" t="s">
        <v>117</v>
      </c>
      <c r="K16" s="320" t="s">
        <v>317</v>
      </c>
      <c r="L16" s="320" t="s">
        <v>117</v>
      </c>
    </row>
    <row r="17" spans="1:13">
      <c r="A17" s="87" t="str">
        <f>IF(LOOKUP(M17,PPTO!$J$8:$J$269,PPTO!A$8:A$269)=0," ",LOOKUP(M17,PPTO!$J$8:$J$269,PPTO!A$8:A$269))</f>
        <v xml:space="preserve"> </v>
      </c>
      <c r="B17" s="88" t="str">
        <f>IF(LOOKUP(M17,PPTO!$J$8:J$269,PPTO!B$8:B$269)=0," ",LOOKUP(M17,PPTO!$J$8:J$269,PPTO!B$8:B$269))</f>
        <v xml:space="preserve"> </v>
      </c>
      <c r="C17" s="89" t="str">
        <f>IF(LOOKUP(M17,PPTO!$J$8:$J$269,PPTO!D$8:D$269)=0," ",LOOKUP(M17,PPTO!$J$8:$J$269,PPTO!D$8:D$269))</f>
        <v xml:space="preserve"> </v>
      </c>
      <c r="D17" s="90" t="str">
        <f>IF(LOOKUP(M17,PPTO!$J$8:$J$269,PPTO!D$8:D$269)=0," ",LOOKUP(M17,PPTO!$J$8:$J$269,PPTO!D$8:D$269))</f>
        <v xml:space="preserve"> </v>
      </c>
      <c r="E17" s="90" t="str">
        <f>IF(LOOKUP(M17,PPTO!$J$8:$J$269,PPTO!E$8:E$269)=0," ",LOOKUP(M17,PPTO!$J$8:$J$269,PPTO!E$8:E$269))</f>
        <v xml:space="preserve"> </v>
      </c>
      <c r="F17" s="90" t="str">
        <f>IF(LOOKUP(M17,PPTO!$J$8:$J$269,PPTO!F$8:F$269)=0," ",LOOKUP(M17,PPTO!$J$8:$J$269,PPTO!F$8:F$269))</f>
        <v xml:space="preserve"> </v>
      </c>
      <c r="G17" s="178"/>
      <c r="H17" s="102"/>
      <c r="I17" s="174"/>
      <c r="J17" s="102"/>
      <c r="K17" s="102"/>
      <c r="L17" s="102"/>
      <c r="M17" s="108">
        <v>1</v>
      </c>
    </row>
    <row r="18" spans="1:13">
      <c r="A18" s="87" t="str">
        <f>IF(LOOKUP(M18,PPTO!$J$8:$J$269,PPTO!A$8:A$269)=0," ",LOOKUP(M18,PPTO!$J$8:$J$269,PPTO!A$8:A$269))</f>
        <v xml:space="preserve"> </v>
      </c>
      <c r="B18" s="88" t="str">
        <f>IF(LOOKUP(M18,PPTO!$J$8:J$269,PPTO!B$8:B$269)=0," ",LOOKUP(M18,PPTO!$J$8:J$269,PPTO!B$8:B$269))</f>
        <v>PRESUPUESTO OBRA CIVIL</v>
      </c>
      <c r="C18" s="89" t="str">
        <f>IF(LOOKUP(M18,PPTO!$J$8:$J$269,PPTO!D$8:D$269)=0," ",LOOKUP(M18,PPTO!$J$8:$J$269,PPTO!D$8:D$269))</f>
        <v xml:space="preserve"> </v>
      </c>
      <c r="D18" s="90" t="str">
        <f>IF(LOOKUP(M18,PPTO!$J$8:$J$269,PPTO!D$8:D$269)=0," ",LOOKUP(M18,PPTO!$J$8:$J$269,PPTO!D$8:D$269))</f>
        <v xml:space="preserve"> </v>
      </c>
      <c r="E18" s="90" t="str">
        <f>IF(LOOKUP(M18,PPTO!$J$8:$J$269,PPTO!E$8:E$269)=0," ",LOOKUP(M18,PPTO!$J$8:$J$269,PPTO!E$8:E$269))</f>
        <v xml:space="preserve"> </v>
      </c>
      <c r="F18" s="90" t="str">
        <f>IF(LOOKUP(M18,PPTO!$J$8:$J$269,PPTO!H$8:H$269)=0," ",LOOKUP(M18,PPTO!$J$8:$J$269,PPTO!H$8:H$269))</f>
        <v xml:space="preserve"> </v>
      </c>
      <c r="G18" s="178"/>
      <c r="H18" s="102"/>
      <c r="I18" s="174"/>
      <c r="J18" s="102"/>
      <c r="K18" s="102"/>
      <c r="L18" s="102"/>
      <c r="M18" s="108">
        <f>M17+1</f>
        <v>2</v>
      </c>
    </row>
    <row r="19" spans="1:13">
      <c r="A19" s="92">
        <f>IF(LOOKUP(M19,PPTO!$J$8:$J$269,PPTO!A$8:A$269)=0," ",LOOKUP(M19,PPTO!$J$8:$J$269,PPTO!A$8:A$269))</f>
        <v>1</v>
      </c>
      <c r="B19" s="88" t="str">
        <f>IF(LOOKUP(M19,PPTO!$J$8:J$269,PPTO!B$8:B$269)=0," ",LOOKUP(M19,PPTO!$J$8:J$269,PPTO!B$8:B$269))</f>
        <v>PRELIMINARES</v>
      </c>
      <c r="C19" s="89" t="str">
        <f>IF(LOOKUP(M19,PPTO!$J$8:$J$269,PPTO!D$8:D$269)=0," ",LOOKUP(M19,PPTO!$J$8:$J$269,PPTO!D$8:D$269))</f>
        <v xml:space="preserve"> </v>
      </c>
      <c r="D19" s="90" t="str">
        <f>IF(LOOKUP(M19,PPTO!$J$8:$J$269,PPTO!E$8:E$269)=0," ",LOOKUP(M19,PPTO!$J$8:$J$269,PPTO!E$8:E$269))</f>
        <v xml:space="preserve"> </v>
      </c>
      <c r="E19" s="90" t="str">
        <f>IF(LOOKUP(M19,PPTO!$J$8:$J$269,PPTO!F$8:F$269)=0," ",LOOKUP(M19,PPTO!$J$8:$J$269,PPTO!F$8:F$269))</f>
        <v xml:space="preserve"> </v>
      </c>
      <c r="F19" s="90" t="str">
        <f>IF(LOOKUP(M19,PPTO!$J$8:$J$269,PPTO!H$8:H$269)=0," ",LOOKUP(M19,PPTO!$J$8:$J$269,PPTO!H$8:H$269))</f>
        <v xml:space="preserve"> </v>
      </c>
      <c r="G19" s="178"/>
      <c r="H19" s="102"/>
      <c r="I19" s="174"/>
      <c r="J19" s="102"/>
      <c r="K19" s="102"/>
      <c r="L19" s="102"/>
      <c r="M19" s="108">
        <f t="shared" ref="M19:M60" si="0">M18+1</f>
        <v>3</v>
      </c>
    </row>
    <row r="20" spans="1:13">
      <c r="A20" s="87" t="str">
        <f>IF(LOOKUP(M20,PPTO!$J$8:$J$269,PPTO!A$8:A$269)=0," ",LOOKUP(M20,PPTO!$J$8:$J$269,PPTO!A$8:A$269))</f>
        <v>1.02</v>
      </c>
      <c r="B20" s="91" t="str">
        <f>IF(LOOKUP(M20,PPTO!$J$8:J$269,PPTO!B$8:B$269)=0," ",LOOKUP(M20,PPTO!$J$8:J$269,PPTO!B$8:B$269))</f>
        <v xml:space="preserve"> </v>
      </c>
      <c r="C20" s="89" t="str">
        <f>IF(LOOKUP(M20,PPTO!$J$8:$J$269,PPTO!D$8:D$269)=0," ",LOOKUP(M20,PPTO!$J$8:$J$269,PPTO!D$8:D$269))</f>
        <v>ML</v>
      </c>
      <c r="D20" s="90" t="str">
        <f>IF(LOOKUP(M20,PPTO!$J$8:$J$269,PPTO!E$8:E$269)=0," ",LOOKUP(M20,PPTO!$J$8:$J$269,PPTO!E$8:E$269))</f>
        <v xml:space="preserve"> </v>
      </c>
      <c r="E20" s="90" t="str">
        <f>IF(LOOKUP(M20,PPTO!$J$8:$J$269,PPTO!F$8:F$269)=0," ",LOOKUP(M20,PPTO!$J$8:$J$269,PPTO!F$8:F$269))</f>
        <v xml:space="preserve"> </v>
      </c>
      <c r="F20" s="90" t="str">
        <f>IF(LOOKUP(M20,PPTO!$J$8:$J$269,PPTO!H$8:H$269)=0," ",LOOKUP(M20,PPTO!$J$8:$J$269,PPTO!H$8:H$269))</f>
        <v xml:space="preserve"> </v>
      </c>
      <c r="G20" s="178">
        <v>15000</v>
      </c>
      <c r="H20" s="102" t="e">
        <f>ROUND(G20*E20,0)</f>
        <v>#VALUE!</v>
      </c>
      <c r="I20" s="174">
        <v>0</v>
      </c>
      <c r="J20" s="102" t="e">
        <f>ROUND(I20*E20,0)</f>
        <v>#VALUE!</v>
      </c>
      <c r="K20" s="102" t="e">
        <f>I20+'ACTA PARCIAL No.4'!K20</f>
        <v>#REF!</v>
      </c>
      <c r="L20" s="102" t="e">
        <f>ROUND(K20*E20,0)</f>
        <v>#REF!</v>
      </c>
      <c r="M20" s="108">
        <f t="shared" si="0"/>
        <v>4</v>
      </c>
    </row>
    <row r="21" spans="1:13">
      <c r="A21" s="87">
        <f>IF(LOOKUP(M21,PPTO!$J$8:$J$269,PPTO!A$8:A$269)=0," ",LOOKUP(M21,PPTO!$J$8:$J$269,PPTO!A$8:A$269))</f>
        <v>2</v>
      </c>
      <c r="B21" s="91" t="str">
        <f>IF(LOOKUP(M21,PPTO!$J$8:J$269,PPTO!B$8:B$269)=0," ",LOOKUP(M21,PPTO!$J$8:J$269,PPTO!B$8:B$269))</f>
        <v>DEMOLICION Y ROTURAS</v>
      </c>
      <c r="C21" s="89" t="str">
        <f>IF(LOOKUP(M21,PPTO!$J$8:$J$269,PPTO!D$8:D$269)=0," ",LOOKUP(M21,PPTO!$J$8:$J$269,PPTO!D$8:D$269))</f>
        <v xml:space="preserve"> </v>
      </c>
      <c r="D21" s="90" t="str">
        <f>IF(LOOKUP(M21,PPTO!$J$8:$J$269,PPTO!E$8:E$269)=0," ",LOOKUP(M21,PPTO!$J$8:$J$269,PPTO!E$8:E$269))</f>
        <v xml:space="preserve"> </v>
      </c>
      <c r="E21" s="90" t="str">
        <f>IF(LOOKUP(M21,PPTO!$J$8:$J$269,PPTO!F$8:F$269)=0," ",LOOKUP(M21,PPTO!$J$8:$J$269,PPTO!F$8:F$269))</f>
        <v xml:space="preserve"> </v>
      </c>
      <c r="F21" s="90" t="str">
        <f>IF(LOOKUP(M21,PPTO!$J$8:$J$269,PPTO!H$8:H$269)=0," ",LOOKUP(M21,PPTO!$J$8:$J$269,PPTO!H$8:H$269))</f>
        <v xml:space="preserve"> </v>
      </c>
      <c r="G21" s="178"/>
      <c r="H21" s="102"/>
      <c r="I21" s="174"/>
      <c r="J21" s="102"/>
      <c r="K21" s="102"/>
      <c r="L21" s="102"/>
      <c r="M21" s="108">
        <f t="shared" si="0"/>
        <v>5</v>
      </c>
    </row>
    <row r="22" spans="1:13">
      <c r="A22" s="87" t="str">
        <f>IF(LOOKUP(M22,PPTO!$J$8:$J$269,PPTO!A$8:A$269)=0," ",LOOKUP(M22,PPTO!$J$8:$J$269,PPTO!A$8:A$269))</f>
        <v>2.01</v>
      </c>
      <c r="B22" s="91" t="str">
        <f>IF(LOOKUP(M22,PPTO!$J$8:J$269,PPTO!B$8:B$269)=0," ",LOOKUP(M22,PPTO!$J$8:J$269,PPTO!B$8:B$269))</f>
        <v xml:space="preserve"> </v>
      </c>
      <c r="C22" s="89" t="str">
        <f>IF(LOOKUP(M22,PPTO!$J$8:$J$269,PPTO!D$8:D$269)=0," ",LOOKUP(M22,PPTO!$J$8:$J$269,PPTO!D$8:D$269))</f>
        <v>ML</v>
      </c>
      <c r="D22" s="90" t="str">
        <f>IF(LOOKUP(M22,PPTO!$J$8:$J$269,PPTO!E$8:E$269)=0," ",LOOKUP(M22,PPTO!$J$8:$J$269,PPTO!E$8:E$269))</f>
        <v xml:space="preserve"> </v>
      </c>
      <c r="E22" s="90" t="str">
        <f>IF(LOOKUP(M22,PPTO!$J$8:$J$269,PPTO!F$8:F$269)=0," ",LOOKUP(M22,PPTO!$J$8:$J$269,PPTO!F$8:F$269))</f>
        <v xml:space="preserve"> </v>
      </c>
      <c r="F22" s="90" t="str">
        <f>IF(LOOKUP(M22,PPTO!$J$8:$J$269,PPTO!H$8:H$269)=0," ",LOOKUP(M22,PPTO!$J$8:$J$269,PPTO!H$8:H$269))</f>
        <v xml:space="preserve"> </v>
      </c>
      <c r="G22" s="178">
        <v>14696</v>
      </c>
      <c r="H22" s="102" t="e">
        <f t="shared" ref="H22:H60" si="1">ROUND(G22*E22,0)</f>
        <v>#VALUE!</v>
      </c>
      <c r="I22" s="174">
        <v>0</v>
      </c>
      <c r="J22" s="102" t="e">
        <f t="shared" ref="J22:J60" si="2">ROUND(I22*E22,0)</f>
        <v>#VALUE!</v>
      </c>
      <c r="K22" s="102" t="e">
        <f>I22+'ACTA PARCIAL No.4'!K22</f>
        <v>#REF!</v>
      </c>
      <c r="L22" s="102" t="e">
        <f t="shared" ref="L22:L60" si="3">ROUND(K22*E22,0)</f>
        <v>#REF!</v>
      </c>
      <c r="M22" s="108">
        <f t="shared" si="0"/>
        <v>6</v>
      </c>
    </row>
    <row r="23" spans="1:13">
      <c r="A23" s="87" t="str">
        <f>IF(LOOKUP(M23,PPTO!$J$8:$J$269,PPTO!A$8:A$269)=0," ",LOOKUP(M23,PPTO!$J$8:$J$269,PPTO!A$8:A$269))</f>
        <v>2.02</v>
      </c>
      <c r="B23" s="91" t="str">
        <f>IF(LOOKUP(M23,PPTO!$J$8:J$269,PPTO!B$8:B$269)=0," ",LOOKUP(M23,PPTO!$J$8:J$269,PPTO!B$8:B$269))</f>
        <v xml:space="preserve"> </v>
      </c>
      <c r="C23" s="89" t="str">
        <f>IF(LOOKUP(M23,PPTO!$J$8:$J$269,PPTO!D$8:D$269)=0," ",LOOKUP(M23,PPTO!$J$8:$J$269,PPTO!D$8:D$269))</f>
        <v>M2</v>
      </c>
      <c r="D23" s="90" t="str">
        <f>IF(LOOKUP(M23,PPTO!$J$8:$J$269,PPTO!E$8:E$269)=0," ",LOOKUP(M23,PPTO!$J$8:$J$269,PPTO!E$8:E$269))</f>
        <v xml:space="preserve"> </v>
      </c>
      <c r="E23" s="90" t="str">
        <f>IF(LOOKUP(M23,PPTO!$J$8:$J$269,PPTO!F$8:F$269)=0," ",LOOKUP(M23,PPTO!$J$8:$J$269,PPTO!F$8:F$269))</f>
        <v xml:space="preserve"> </v>
      </c>
      <c r="F23" s="90" t="str">
        <f>IF(LOOKUP(M23,PPTO!$J$8:$J$269,PPTO!H$8:H$269)=0," ",LOOKUP(M23,PPTO!$J$8:$J$269,PPTO!H$8:H$269))</f>
        <v xml:space="preserve"> </v>
      </c>
      <c r="G23" s="178">
        <v>4134</v>
      </c>
      <c r="H23" s="102" t="e">
        <f t="shared" si="1"/>
        <v>#VALUE!</v>
      </c>
      <c r="I23" s="174">
        <v>0</v>
      </c>
      <c r="J23" s="102" t="e">
        <f t="shared" si="2"/>
        <v>#VALUE!</v>
      </c>
      <c r="K23" s="102" t="e">
        <f>I23+'ACTA PARCIAL No.4'!K23</f>
        <v>#REF!</v>
      </c>
      <c r="L23" s="102" t="e">
        <f t="shared" si="3"/>
        <v>#REF!</v>
      </c>
      <c r="M23" s="108">
        <f t="shared" si="0"/>
        <v>7</v>
      </c>
    </row>
    <row r="24" spans="1:13">
      <c r="A24" s="87" t="str">
        <f>IF(LOOKUP(M24,PPTO!$J$8:$J$269,PPTO!A$8:A$269)=0," ",LOOKUP(M24,PPTO!$J$8:$J$269,PPTO!A$8:A$269))</f>
        <v>2.03</v>
      </c>
      <c r="B24" s="91" t="str">
        <f>IF(LOOKUP(M24,PPTO!$J$8:J$269,PPTO!B$8:B$269)=0," ",LOOKUP(M24,PPTO!$J$8:J$269,PPTO!B$8:B$269))</f>
        <v xml:space="preserve"> </v>
      </c>
      <c r="C24" s="89" t="str">
        <f>IF(LOOKUP(M24,PPTO!$J$8:$J$269,PPTO!D$8:D$269)=0," ",LOOKUP(M24,PPTO!$J$8:$J$269,PPTO!D$8:D$269))</f>
        <v>M2</v>
      </c>
      <c r="D24" s="90" t="str">
        <f>IF(LOOKUP(M24,PPTO!$J$8:$J$269,PPTO!E$8:E$269)=0," ",LOOKUP(M24,PPTO!$J$8:$J$269,PPTO!E$8:E$269))</f>
        <v xml:space="preserve"> </v>
      </c>
      <c r="E24" s="90" t="str">
        <f>IF(LOOKUP(M24,PPTO!$J$8:$J$269,PPTO!F$8:F$269)=0," ",LOOKUP(M24,PPTO!$J$8:$J$269,PPTO!F$8:F$269))</f>
        <v xml:space="preserve"> </v>
      </c>
      <c r="F24" s="90" t="str">
        <f>IF(LOOKUP(M24,PPTO!$J$8:$J$269,PPTO!H$8:H$269)=0," ",LOOKUP(M24,PPTO!$J$8:$J$269,PPTO!H$8:H$269))</f>
        <v xml:space="preserve"> </v>
      </c>
      <c r="G24" s="178">
        <v>14696</v>
      </c>
      <c r="H24" s="102" t="e">
        <f t="shared" si="1"/>
        <v>#VALUE!</v>
      </c>
      <c r="I24" s="174">
        <v>0</v>
      </c>
      <c r="J24" s="102" t="e">
        <f t="shared" si="2"/>
        <v>#VALUE!</v>
      </c>
      <c r="K24" s="102" t="e">
        <f>I24+'ACTA PARCIAL No.4'!K24</f>
        <v>#REF!</v>
      </c>
      <c r="L24" s="102" t="e">
        <f t="shared" si="3"/>
        <v>#REF!</v>
      </c>
      <c r="M24" s="108">
        <f t="shared" si="0"/>
        <v>8</v>
      </c>
    </row>
    <row r="25" spans="1:13">
      <c r="A25" s="87" t="str">
        <f>IF(LOOKUP(M25,PPTO!$J$8:$J$269,PPTO!A$8:A$269)=0," ",LOOKUP(M25,PPTO!$J$8:$J$269,PPTO!A$8:A$269))</f>
        <v>2.04</v>
      </c>
      <c r="B25" s="91" t="str">
        <f>IF(LOOKUP(M25,PPTO!$J$8:J$269,PPTO!B$8:B$269)=0," ",LOOKUP(M25,PPTO!$J$8:J$269,PPTO!B$8:B$269))</f>
        <v xml:space="preserve"> </v>
      </c>
      <c r="C25" s="89" t="str">
        <f>IF(LOOKUP(M25,PPTO!$J$8:$J$269,PPTO!D$8:D$269)=0," ",LOOKUP(M25,PPTO!$J$8:$J$269,PPTO!D$8:D$269))</f>
        <v>UND</v>
      </c>
      <c r="D25" s="90" t="str">
        <f>IF(LOOKUP(M25,PPTO!$J$8:$J$269,PPTO!E$8:E$269)=0," ",LOOKUP(M25,PPTO!$J$8:$J$269,PPTO!E$8:E$269))</f>
        <v xml:space="preserve"> </v>
      </c>
      <c r="E25" s="90" t="str">
        <f>IF(LOOKUP(M25,PPTO!$J$8:$J$269,PPTO!F$8:F$269)=0," ",LOOKUP(M25,PPTO!$J$8:$J$269,PPTO!F$8:F$269))</f>
        <v xml:space="preserve"> </v>
      </c>
      <c r="F25" s="90" t="str">
        <f>IF(LOOKUP(M25,PPTO!$J$8:$J$269,PPTO!H$8:H$269)=0," ",LOOKUP(M25,PPTO!$J$8:$J$269,PPTO!H$8:H$269))</f>
        <v xml:space="preserve"> </v>
      </c>
      <c r="G25" s="178">
        <v>200</v>
      </c>
      <c r="H25" s="102" t="e">
        <f t="shared" si="1"/>
        <v>#VALUE!</v>
      </c>
      <c r="I25" s="174">
        <v>0</v>
      </c>
      <c r="J25" s="102" t="e">
        <f t="shared" si="2"/>
        <v>#VALUE!</v>
      </c>
      <c r="K25" s="102" t="e">
        <f>I25+'ACTA PARCIAL No.4'!K25</f>
        <v>#REF!</v>
      </c>
      <c r="L25" s="102" t="e">
        <f t="shared" si="3"/>
        <v>#REF!</v>
      </c>
      <c r="M25" s="108">
        <f t="shared" si="0"/>
        <v>9</v>
      </c>
    </row>
    <row r="26" spans="1:13">
      <c r="A26" s="87">
        <f>IF(LOOKUP(M26,PPTO!$J$8:$J$269,PPTO!A$8:A$269)=0," ",LOOKUP(M26,PPTO!$J$8:$J$269,PPTO!A$8:A$269))</f>
        <v>3</v>
      </c>
      <c r="B26" s="91" t="str">
        <f>IF(LOOKUP(M26,PPTO!$J$8:J$269,PPTO!B$8:B$269)=0," ",LOOKUP(M26,PPTO!$J$8:J$269,PPTO!B$8:B$269))</f>
        <v>MOVIMIENTOS DE TIERRA</v>
      </c>
      <c r="C26" s="89" t="str">
        <f>IF(LOOKUP(M26,PPTO!$J$8:$J$269,PPTO!D$8:D$269)=0," ",LOOKUP(M26,PPTO!$J$8:$J$269,PPTO!D$8:D$269))</f>
        <v xml:space="preserve"> </v>
      </c>
      <c r="D26" s="90" t="str">
        <f>IF(LOOKUP(M26,PPTO!$J$8:$J$269,PPTO!E$8:E$269)=0," ",LOOKUP(M26,PPTO!$J$8:$J$269,PPTO!E$8:E$269))</f>
        <v xml:space="preserve"> </v>
      </c>
      <c r="E26" s="90" t="str">
        <f>IF(LOOKUP(M26,PPTO!$J$8:$J$269,PPTO!F$8:F$269)=0," ",LOOKUP(M26,PPTO!$J$8:$J$269,PPTO!F$8:F$269))</f>
        <v xml:space="preserve"> </v>
      </c>
      <c r="F26" s="90" t="str">
        <f>IF(LOOKUP(M26,PPTO!$J$8:$J$269,PPTO!H$8:H$269)=0," ",LOOKUP(M26,PPTO!$J$8:$J$269,PPTO!H$8:H$269))</f>
        <v xml:space="preserve"> </v>
      </c>
      <c r="G26" s="178"/>
      <c r="H26" s="102"/>
      <c r="I26" s="174"/>
      <c r="J26" s="102"/>
      <c r="K26" s="102"/>
      <c r="L26" s="102"/>
      <c r="M26" s="108">
        <f t="shared" si="0"/>
        <v>10</v>
      </c>
    </row>
    <row r="27" spans="1:13">
      <c r="A27" s="87" t="str">
        <f>IF(LOOKUP(M27,PPTO!$J$8:$J$269,PPTO!A$8:A$269)=0," ",LOOKUP(M27,PPTO!$J$8:$J$269,PPTO!A$8:A$269))</f>
        <v>3.01</v>
      </c>
      <c r="B27" s="91" t="str">
        <f>IF(LOOKUP(M27,PPTO!$J$8:J$269,PPTO!B$8:B$269)=0," ",LOOKUP(M27,PPTO!$J$8:J$269,PPTO!B$8:B$269))</f>
        <v xml:space="preserve"> </v>
      </c>
      <c r="C27" s="89" t="str">
        <f>IF(LOOKUP(M27,PPTO!$J$8:$J$269,PPTO!D$8:D$269)=0," ",LOOKUP(M27,PPTO!$J$8:$J$269,PPTO!D$8:D$269))</f>
        <v>M3</v>
      </c>
      <c r="D27" s="90" t="str">
        <f>IF(LOOKUP(M27,PPTO!$J$8:$J$269,PPTO!E$8:E$269)=0," ",LOOKUP(M27,PPTO!$J$8:$J$269,PPTO!E$8:E$269))</f>
        <v xml:space="preserve"> </v>
      </c>
      <c r="E27" s="90" t="str">
        <f>IF(LOOKUP(M27,PPTO!$J$8:$J$269,PPTO!F$8:F$269)=0," ",LOOKUP(M27,PPTO!$J$8:$J$269,PPTO!F$8:F$269))</f>
        <v xml:space="preserve"> </v>
      </c>
      <c r="F27" s="90" t="str">
        <f>IF(LOOKUP(M27,PPTO!$J$8:$J$269,PPTO!H$8:H$269)=0," ",LOOKUP(M27,PPTO!$J$8:$J$269,PPTO!H$8:H$269))</f>
        <v xml:space="preserve"> </v>
      </c>
      <c r="G27" s="178">
        <v>243</v>
      </c>
      <c r="H27" s="102" t="e">
        <f t="shared" si="1"/>
        <v>#VALUE!</v>
      </c>
      <c r="I27" s="174">
        <v>0</v>
      </c>
      <c r="J27" s="102" t="e">
        <f t="shared" si="2"/>
        <v>#VALUE!</v>
      </c>
      <c r="K27" s="102" t="e">
        <f>I27+'ACTA PARCIAL No.4'!K27</f>
        <v>#REF!</v>
      </c>
      <c r="L27" s="102" t="e">
        <f t="shared" si="3"/>
        <v>#REF!</v>
      </c>
      <c r="M27" s="108">
        <f t="shared" si="0"/>
        <v>11</v>
      </c>
    </row>
    <row r="28" spans="1:13">
      <c r="A28" s="87" t="str">
        <f>IF(LOOKUP(M28,PPTO!$J$8:$J$269,PPTO!A$8:A$269)=0," ",LOOKUP(M28,PPTO!$J$8:$J$269,PPTO!A$8:A$269))</f>
        <v>3.02</v>
      </c>
      <c r="B28" s="91" t="str">
        <f>IF(LOOKUP(M28,PPTO!$J$8:J$269,PPTO!B$8:B$269)=0," ",LOOKUP(M28,PPTO!$J$8:J$269,PPTO!B$8:B$269))</f>
        <v xml:space="preserve"> </v>
      </c>
      <c r="C28" s="89" t="str">
        <f>IF(LOOKUP(M28,PPTO!$J$8:$J$269,PPTO!D$8:D$269)=0," ",LOOKUP(M28,PPTO!$J$8:$J$269,PPTO!D$8:D$269))</f>
        <v>M3</v>
      </c>
      <c r="D28" s="90" t="str">
        <f>IF(LOOKUP(M28,PPTO!$J$8:$J$269,PPTO!E$8:E$269)=0," ",LOOKUP(M28,PPTO!$J$8:$J$269,PPTO!E$8:E$269))</f>
        <v xml:space="preserve"> </v>
      </c>
      <c r="E28" s="90" t="str">
        <f>IF(LOOKUP(M28,PPTO!$J$8:$J$269,PPTO!F$8:F$269)=0," ",LOOKUP(M28,PPTO!$J$8:$J$269,PPTO!F$8:F$269))</f>
        <v xml:space="preserve"> </v>
      </c>
      <c r="F28" s="90" t="str">
        <f>IF(LOOKUP(M28,PPTO!$J$8:$J$269,PPTO!H$8:H$269)=0," ",LOOKUP(M28,PPTO!$J$8:$J$269,PPTO!H$8:H$269))</f>
        <v xml:space="preserve"> </v>
      </c>
      <c r="G28" s="178">
        <v>2018.33</v>
      </c>
      <c r="H28" s="102" t="e">
        <f t="shared" si="1"/>
        <v>#VALUE!</v>
      </c>
      <c r="I28" s="174">
        <v>0</v>
      </c>
      <c r="J28" s="102" t="e">
        <f t="shared" si="2"/>
        <v>#VALUE!</v>
      </c>
      <c r="K28" s="102" t="e">
        <f>I28+'ACTA PARCIAL No.4'!K28</f>
        <v>#REF!</v>
      </c>
      <c r="L28" s="102" t="e">
        <f t="shared" si="3"/>
        <v>#REF!</v>
      </c>
      <c r="M28" s="108">
        <f>M27+1</f>
        <v>12</v>
      </c>
    </row>
    <row r="29" spans="1:13">
      <c r="A29" s="87" t="str">
        <f>IF(LOOKUP(M29,PPTO!$J$8:$J$269,PPTO!A$8:A$269)=0," ",LOOKUP(M29,PPTO!$J$8:$J$269,PPTO!A$8:A$269))</f>
        <v>3.03</v>
      </c>
      <c r="B29" s="91" t="str">
        <f>IF(LOOKUP(M29,PPTO!$J$8:J$269,PPTO!B$8:B$269)=0," ",LOOKUP(M29,PPTO!$J$8:J$269,PPTO!B$8:B$269))</f>
        <v xml:space="preserve"> </v>
      </c>
      <c r="C29" s="89" t="str">
        <f>IF(LOOKUP(M29,PPTO!$J$8:$J$269,PPTO!D$8:D$269)=0," ",LOOKUP(M29,PPTO!$J$8:$J$269,PPTO!D$8:D$269))</f>
        <v>M3</v>
      </c>
      <c r="D29" s="90" t="str">
        <f>IF(LOOKUP(M29,PPTO!$J$8:$J$269,PPTO!E$8:E$269)=0," ",LOOKUP(M29,PPTO!$J$8:$J$269,PPTO!E$8:E$269))</f>
        <v xml:space="preserve"> </v>
      </c>
      <c r="E29" s="90" t="str">
        <f>IF(LOOKUP(M29,PPTO!$J$8:$J$269,PPTO!F$8:F$269)=0," ",LOOKUP(M29,PPTO!$J$8:$J$269,PPTO!F$8:F$269))</f>
        <v xml:space="preserve"> </v>
      </c>
      <c r="F29" s="90" t="str">
        <f>IF(LOOKUP(M29,PPTO!$J$8:$J$269,PPTO!H$8:H$269)=0," ",LOOKUP(M29,PPTO!$J$8:$J$269,PPTO!H$8:H$269))</f>
        <v xml:space="preserve"> </v>
      </c>
      <c r="G29" s="178">
        <v>1587.38</v>
      </c>
      <c r="H29" s="102" t="e">
        <f t="shared" si="1"/>
        <v>#VALUE!</v>
      </c>
      <c r="I29" s="174">
        <v>0</v>
      </c>
      <c r="J29" s="102" t="e">
        <f t="shared" si="2"/>
        <v>#VALUE!</v>
      </c>
      <c r="K29" s="102" t="e">
        <f>I29+'ACTA PARCIAL No.4'!K29</f>
        <v>#REF!</v>
      </c>
      <c r="L29" s="102" t="e">
        <f t="shared" si="3"/>
        <v>#REF!</v>
      </c>
      <c r="M29" s="108">
        <f>M28+1</f>
        <v>13</v>
      </c>
    </row>
    <row r="30" spans="1:13">
      <c r="A30" s="87" t="str">
        <f>IF(LOOKUP(M30,PPTO!$J$8:$J$269,PPTO!A$8:A$269)=0," ",LOOKUP(M30,PPTO!$J$8:$J$269,PPTO!A$8:A$269))</f>
        <v>3.04</v>
      </c>
      <c r="B30" s="91" t="str">
        <f>IF(LOOKUP(M30,PPTO!$J$8:J$269,PPTO!B$8:B$269)=0," ",LOOKUP(M30,PPTO!$J$8:J$269,PPTO!B$8:B$269))</f>
        <v xml:space="preserve"> </v>
      </c>
      <c r="C30" s="89" t="str">
        <f>IF(LOOKUP(M30,PPTO!$J$8:$J$269,PPTO!D$8:D$269)=0," ",LOOKUP(M30,PPTO!$J$8:$J$269,PPTO!D$8:D$269))</f>
        <v>M3</v>
      </c>
      <c r="D30" s="90" t="str">
        <f>IF(LOOKUP(M30,PPTO!$J$8:$J$269,PPTO!E$8:E$269)=0," ",LOOKUP(M30,PPTO!$J$8:$J$269,PPTO!E$8:E$269))</f>
        <v xml:space="preserve"> </v>
      </c>
      <c r="E30" s="90" t="str">
        <f>IF(LOOKUP(M30,PPTO!$J$8:$J$269,PPTO!F$8:F$269)=0," ",LOOKUP(M30,PPTO!$J$8:$J$269,PPTO!F$8:F$269))</f>
        <v xml:space="preserve"> </v>
      </c>
      <c r="F30" s="90" t="str">
        <f>IF(LOOKUP(M30,PPTO!$J$8:$J$269,PPTO!H$8:H$269)=0," ",LOOKUP(M30,PPTO!$J$8:$J$269,PPTO!H$8:H$269))</f>
        <v xml:space="preserve"> </v>
      </c>
      <c r="G30" s="178">
        <v>21041</v>
      </c>
      <c r="H30" s="102" t="e">
        <f t="shared" si="1"/>
        <v>#VALUE!</v>
      </c>
      <c r="I30" s="174">
        <v>0</v>
      </c>
      <c r="J30" s="102" t="e">
        <f t="shared" si="2"/>
        <v>#VALUE!</v>
      </c>
      <c r="K30" s="102" t="e">
        <f>I30+'ACTA PARCIAL No.4'!K30</f>
        <v>#REF!</v>
      </c>
      <c r="L30" s="102" t="e">
        <f t="shared" si="3"/>
        <v>#REF!</v>
      </c>
      <c r="M30" s="108">
        <f t="shared" si="0"/>
        <v>14</v>
      </c>
    </row>
    <row r="31" spans="1:13">
      <c r="A31" s="87" t="str">
        <f>IF(LOOKUP(M31,PPTO!$J$8:$J$269,PPTO!A$8:A$269)=0," ",LOOKUP(M31,PPTO!$J$8:$J$269,PPTO!A$8:A$269))</f>
        <v>3.05</v>
      </c>
      <c r="B31" s="91" t="str">
        <f>IF(LOOKUP(M31,PPTO!$J$8:J$269,PPTO!B$8:B$269)=0," ",LOOKUP(M31,PPTO!$J$8:J$269,PPTO!B$8:B$269))</f>
        <v xml:space="preserve"> </v>
      </c>
      <c r="C31" s="89" t="str">
        <f>IF(LOOKUP(M31,PPTO!$J$8:$J$269,PPTO!D$8:D$269)=0," ",LOOKUP(M31,PPTO!$J$8:$J$269,PPTO!D$8:D$269))</f>
        <v>M3</v>
      </c>
      <c r="D31" s="90" t="str">
        <f>IF(LOOKUP(M31,PPTO!$J$8:$J$269,PPTO!E$8:E$269)=0," ",LOOKUP(M31,PPTO!$J$8:$J$269,PPTO!E$8:E$269))</f>
        <v xml:space="preserve"> </v>
      </c>
      <c r="E31" s="90" t="str">
        <f>IF(LOOKUP(M31,PPTO!$J$8:$J$269,PPTO!F$8:F$269)=0," ",LOOKUP(M31,PPTO!$J$8:$J$269,PPTO!F$8:F$269))</f>
        <v xml:space="preserve"> </v>
      </c>
      <c r="F31" s="90" t="str">
        <f>IF(LOOKUP(M31,PPTO!$J$8:$J$269,PPTO!H$8:H$269)=0," ",LOOKUP(M31,PPTO!$J$8:$J$269,PPTO!H$8:H$269))</f>
        <v xml:space="preserve"> </v>
      </c>
      <c r="G31" s="178">
        <v>936.85</v>
      </c>
      <c r="H31" s="102" t="e">
        <f t="shared" si="1"/>
        <v>#VALUE!</v>
      </c>
      <c r="I31" s="174">
        <v>0</v>
      </c>
      <c r="J31" s="102" t="e">
        <f t="shared" si="2"/>
        <v>#VALUE!</v>
      </c>
      <c r="K31" s="102" t="e">
        <f>I31+'ACTA PARCIAL No.4'!K31</f>
        <v>#REF!</v>
      </c>
      <c r="L31" s="102" t="e">
        <f t="shared" si="3"/>
        <v>#REF!</v>
      </c>
      <c r="M31" s="108">
        <f t="shared" si="0"/>
        <v>15</v>
      </c>
    </row>
    <row r="32" spans="1:13">
      <c r="A32" s="87" t="str">
        <f>IF(LOOKUP(M32,PPTO!$J$8:$J$269,PPTO!A$8:A$269)=0," ",LOOKUP(M32,PPTO!$J$8:$J$269,PPTO!A$8:A$269))</f>
        <v>3.06</v>
      </c>
      <c r="B32" s="91" t="str">
        <f>IF(LOOKUP(M32,PPTO!$J$8:J$269,PPTO!B$8:B$269)=0," ",LOOKUP(M32,PPTO!$J$8:J$269,PPTO!B$8:B$269))</f>
        <v xml:space="preserve"> </v>
      </c>
      <c r="C32" s="89" t="str">
        <f>IF(LOOKUP(M32,PPTO!$J$8:$J$269,PPTO!D$8:D$269)=0," ",LOOKUP(M32,PPTO!$J$8:$J$269,PPTO!D$8:D$269))</f>
        <v>M3</v>
      </c>
      <c r="D32" s="90" t="str">
        <f>IF(LOOKUP(M32,PPTO!$J$8:$J$269,PPTO!E$8:E$269)=0," ",LOOKUP(M32,PPTO!$J$8:$J$269,PPTO!E$8:E$269))</f>
        <v xml:space="preserve"> </v>
      </c>
      <c r="E32" s="90" t="str">
        <f>IF(LOOKUP(M32,PPTO!$J$8:$J$269,PPTO!F$8:F$269)=0," ",LOOKUP(M32,PPTO!$J$8:$J$269,PPTO!F$8:F$269))</f>
        <v xml:space="preserve"> </v>
      </c>
      <c r="F32" s="90" t="str">
        <f>IF(LOOKUP(M32,PPTO!$J$8:$J$269,PPTO!H$8:H$269)=0," ",LOOKUP(M32,PPTO!$J$8:$J$269,PPTO!H$8:H$269))</f>
        <v xml:space="preserve"> </v>
      </c>
      <c r="G32" s="178">
        <v>2018.33</v>
      </c>
      <c r="H32" s="102" t="e">
        <f t="shared" si="1"/>
        <v>#VALUE!</v>
      </c>
      <c r="I32" s="174">
        <v>0</v>
      </c>
      <c r="J32" s="102" t="e">
        <f t="shared" si="2"/>
        <v>#VALUE!</v>
      </c>
      <c r="K32" s="102" t="e">
        <f>I32+'ACTA PARCIAL No.4'!K32</f>
        <v>#REF!</v>
      </c>
      <c r="L32" s="102" t="e">
        <f t="shared" si="3"/>
        <v>#REF!</v>
      </c>
      <c r="M32" s="108">
        <f t="shared" si="0"/>
        <v>16</v>
      </c>
    </row>
    <row r="33" spans="1:13">
      <c r="A33" s="87" t="str">
        <f>IF(LOOKUP(M33,PPTO!$J$8:$J$269,PPTO!A$8:A$269)=0," ",LOOKUP(M33,PPTO!$J$8:$J$269,PPTO!A$8:A$269))</f>
        <v>3.07</v>
      </c>
      <c r="B33" s="91" t="str">
        <f>IF(LOOKUP(M33,PPTO!$J$8:J$269,PPTO!B$8:B$269)=0," ",LOOKUP(M33,PPTO!$J$8:J$269,PPTO!B$8:B$269))</f>
        <v xml:space="preserve"> </v>
      </c>
      <c r="C33" s="89" t="str">
        <f>IF(LOOKUP(M33,PPTO!$J$8:$J$269,PPTO!D$8:D$269)=0," ",LOOKUP(M33,PPTO!$J$8:$J$269,PPTO!D$8:D$269))</f>
        <v>M3</v>
      </c>
      <c r="D33" s="90" t="str">
        <f>IF(LOOKUP(M33,PPTO!$J$8:$J$269,PPTO!E$8:E$269)=0," ",LOOKUP(M33,PPTO!$J$8:$J$269,PPTO!E$8:E$269))</f>
        <v xml:space="preserve"> </v>
      </c>
      <c r="E33" s="90" t="str">
        <f>IF(LOOKUP(M33,PPTO!$J$8:$J$269,PPTO!F$8:F$269)=0," ",LOOKUP(M33,PPTO!$J$8:$J$269,PPTO!F$8:F$269))</f>
        <v xml:space="preserve"> </v>
      </c>
      <c r="F33" s="90" t="str">
        <f>IF(LOOKUP(M33,PPTO!$J$8:$J$269,PPTO!H$8:H$269)=0," ",LOOKUP(M33,PPTO!$J$8:$J$269,PPTO!H$8:H$269))</f>
        <v xml:space="preserve"> </v>
      </c>
      <c r="G33" s="178">
        <v>1587.38</v>
      </c>
      <c r="H33" s="102" t="e">
        <f t="shared" si="1"/>
        <v>#VALUE!</v>
      </c>
      <c r="I33" s="174">
        <v>0</v>
      </c>
      <c r="J33" s="102" t="e">
        <f t="shared" si="2"/>
        <v>#VALUE!</v>
      </c>
      <c r="K33" s="102" t="e">
        <f>I33+'ACTA PARCIAL No.4'!K33</f>
        <v>#REF!</v>
      </c>
      <c r="L33" s="102" t="e">
        <f t="shared" si="3"/>
        <v>#REF!</v>
      </c>
      <c r="M33" s="108">
        <f t="shared" si="0"/>
        <v>17</v>
      </c>
    </row>
    <row r="34" spans="1:13">
      <c r="A34" s="87" t="str">
        <f>IF(LOOKUP(M34,PPTO!$J$8:$J$269,PPTO!A$8:A$269)=0," ",LOOKUP(M34,PPTO!$J$8:$J$269,PPTO!A$8:A$269))</f>
        <v>3.08</v>
      </c>
      <c r="B34" s="91" t="str">
        <f>IF(LOOKUP(M34,PPTO!$J$8:J$269,PPTO!B$8:B$269)=0," ",LOOKUP(M34,PPTO!$J$8:J$269,PPTO!B$8:B$269))</f>
        <v xml:space="preserve"> </v>
      </c>
      <c r="C34" s="89" t="str">
        <f>IF(LOOKUP(M34,PPTO!$J$8:$J$269,PPTO!D$8:D$269)=0," ",LOOKUP(M34,PPTO!$J$8:$J$269,PPTO!D$8:D$269))</f>
        <v>M2</v>
      </c>
      <c r="D34" s="90" t="str">
        <f>IF(LOOKUP(M34,PPTO!$J$8:$J$269,PPTO!E$8:E$269)=0," ",LOOKUP(M34,PPTO!$J$8:$J$269,PPTO!E$8:E$269))</f>
        <v xml:space="preserve"> </v>
      </c>
      <c r="E34" s="90" t="str">
        <f>IF(LOOKUP(M34,PPTO!$J$8:$J$269,PPTO!F$8:F$269)=0," ",LOOKUP(M34,PPTO!$J$8:$J$269,PPTO!F$8:F$269))</f>
        <v xml:space="preserve"> </v>
      </c>
      <c r="F34" s="90" t="str">
        <f>IF(LOOKUP(M34,PPTO!$J$8:$J$269,PPTO!H$8:H$269)=0," ",LOOKUP(M34,PPTO!$J$8:$J$269,PPTO!H$8:H$269))</f>
        <v xml:space="preserve"> </v>
      </c>
      <c r="G34" s="178">
        <v>10500</v>
      </c>
      <c r="H34" s="102" t="e">
        <f t="shared" si="1"/>
        <v>#VALUE!</v>
      </c>
      <c r="I34" s="174">
        <v>0</v>
      </c>
      <c r="J34" s="102" t="e">
        <f t="shared" si="2"/>
        <v>#VALUE!</v>
      </c>
      <c r="K34" s="102" t="e">
        <f>I34+'ACTA PARCIAL No.4'!K34</f>
        <v>#REF!</v>
      </c>
      <c r="L34" s="102" t="e">
        <f t="shared" si="3"/>
        <v>#REF!</v>
      </c>
      <c r="M34" s="108">
        <f t="shared" si="0"/>
        <v>18</v>
      </c>
    </row>
    <row r="35" spans="1:13">
      <c r="A35" s="87" t="str">
        <f>IF(LOOKUP(M35,PPTO!$J$8:$J$269,PPTO!A$8:A$269)=0," ",LOOKUP(M35,PPTO!$J$8:$J$269,PPTO!A$8:A$269))</f>
        <v>3.09</v>
      </c>
      <c r="B35" s="91" t="str">
        <f>IF(LOOKUP(M35,PPTO!$J$8:J$269,PPTO!B$8:B$269)=0," ",LOOKUP(M35,PPTO!$J$8:J$269,PPTO!B$8:B$269))</f>
        <v xml:space="preserve"> </v>
      </c>
      <c r="C35" s="89" t="str">
        <f>IF(LOOKUP(M35,PPTO!$J$8:$J$269,PPTO!D$8:D$269)=0," ",LOOKUP(M35,PPTO!$J$8:$J$269,PPTO!D$8:D$269))</f>
        <v>UND</v>
      </c>
      <c r="D35" s="90" t="str">
        <f>IF(LOOKUP(M35,PPTO!$J$8:$J$269,PPTO!E$8:E$269)=0," ",LOOKUP(M35,PPTO!$J$8:$J$269,PPTO!E$8:E$269))</f>
        <v xml:space="preserve"> </v>
      </c>
      <c r="E35" s="90" t="str">
        <f>IF(LOOKUP(M35,PPTO!$J$8:$J$269,PPTO!F$8:F$269)=0," ",LOOKUP(M35,PPTO!$J$8:$J$269,PPTO!F$8:F$269))</f>
        <v xml:space="preserve"> </v>
      </c>
      <c r="F35" s="90" t="str">
        <f>IF(LOOKUP(M35,PPTO!$J$8:$J$269,PPTO!H$8:H$269)=0," ",LOOKUP(M35,PPTO!$J$8:$J$269,PPTO!H$8:H$269))</f>
        <v xml:space="preserve"> </v>
      </c>
      <c r="G35" s="178">
        <v>936.85</v>
      </c>
      <c r="H35" s="102" t="e">
        <f t="shared" si="1"/>
        <v>#VALUE!</v>
      </c>
      <c r="I35" s="174">
        <v>0</v>
      </c>
      <c r="J35" s="102" t="e">
        <f t="shared" si="2"/>
        <v>#VALUE!</v>
      </c>
      <c r="K35" s="102" t="e">
        <f>I35+'ACTA PARCIAL No.4'!K35</f>
        <v>#REF!</v>
      </c>
      <c r="L35" s="102" t="e">
        <f t="shared" si="3"/>
        <v>#REF!</v>
      </c>
      <c r="M35" s="108">
        <f t="shared" si="0"/>
        <v>19</v>
      </c>
    </row>
    <row r="36" spans="1:13">
      <c r="A36" s="87" t="str">
        <f>IF(LOOKUP(M36,PPTO!$J$8:$J$269,PPTO!A$8:A$269)=0," ",LOOKUP(M36,PPTO!$J$8:$J$269,PPTO!A$8:A$269))</f>
        <v>3.10</v>
      </c>
      <c r="B36" s="91" t="str">
        <f>IF(LOOKUP(M36,PPTO!$J$8:J$269,PPTO!B$8:B$269)=0," ",LOOKUP(M36,PPTO!$J$8:J$269,PPTO!B$8:B$269))</f>
        <v xml:space="preserve"> </v>
      </c>
      <c r="C36" s="89" t="str">
        <f>IF(LOOKUP(M36,PPTO!$J$8:$J$269,PPTO!D$8:D$269)=0," ",LOOKUP(M36,PPTO!$J$8:$J$269,PPTO!D$8:D$269))</f>
        <v>M3</v>
      </c>
      <c r="D36" s="90" t="str">
        <f>IF(LOOKUP(M36,PPTO!$J$8:$J$269,PPTO!E$8:E$269)=0," ",LOOKUP(M36,PPTO!$J$8:$J$269,PPTO!E$8:E$269))</f>
        <v xml:space="preserve"> </v>
      </c>
      <c r="E36" s="90" t="str">
        <f>IF(LOOKUP(M36,PPTO!$J$8:$J$269,PPTO!F$8:F$269)=0," ",LOOKUP(M36,PPTO!$J$8:$J$269,PPTO!F$8:F$269))</f>
        <v xml:space="preserve"> </v>
      </c>
      <c r="F36" s="90" t="str">
        <f>IF(LOOKUP(M36,PPTO!$J$8:$J$269,PPTO!H$8:H$269)=0," ",LOOKUP(M36,PPTO!$J$8:$J$269,PPTO!H$8:H$269))</f>
        <v xml:space="preserve"> </v>
      </c>
      <c r="G36" s="178">
        <v>2018.33</v>
      </c>
      <c r="H36" s="102" t="e">
        <f t="shared" si="1"/>
        <v>#VALUE!</v>
      </c>
      <c r="I36" s="174">
        <v>0</v>
      </c>
      <c r="J36" s="102" t="e">
        <f t="shared" si="2"/>
        <v>#VALUE!</v>
      </c>
      <c r="K36" s="102" t="e">
        <f>I36+'ACTA PARCIAL No.4'!K36</f>
        <v>#REF!</v>
      </c>
      <c r="L36" s="102" t="e">
        <f t="shared" si="3"/>
        <v>#REF!</v>
      </c>
      <c r="M36" s="108">
        <f t="shared" si="0"/>
        <v>20</v>
      </c>
    </row>
    <row r="37" spans="1:13">
      <c r="A37" s="87" t="str">
        <f>IF(LOOKUP(M37,PPTO!$J$8:$J$269,PPTO!A$8:A$269)=0," ",LOOKUP(M37,PPTO!$J$8:$J$269,PPTO!A$8:A$269))</f>
        <v>3.11</v>
      </c>
      <c r="B37" s="91" t="str">
        <f>IF(LOOKUP(M37,PPTO!$J$8:J$269,PPTO!B$8:B$269)=0," ",LOOKUP(M37,PPTO!$J$8:J$269,PPTO!B$8:B$269))</f>
        <v xml:space="preserve"> </v>
      </c>
      <c r="C37" s="89" t="str">
        <f>IF(LOOKUP(M37,PPTO!$J$8:$J$269,PPTO!D$8:D$269)=0," ",LOOKUP(M37,PPTO!$J$8:$J$269,PPTO!D$8:D$269))</f>
        <v>M3</v>
      </c>
      <c r="D37" s="90" t="str">
        <f>IF(LOOKUP(M37,PPTO!$J$8:$J$269,PPTO!E$8:E$269)=0," ",LOOKUP(M37,PPTO!$J$8:$J$269,PPTO!E$8:E$269))</f>
        <v xml:space="preserve"> </v>
      </c>
      <c r="E37" s="90" t="str">
        <f>IF(LOOKUP(M37,PPTO!$J$8:$J$269,PPTO!F$8:F$269)=0," ",LOOKUP(M37,PPTO!$J$8:$J$269,PPTO!F$8:F$269))</f>
        <v xml:space="preserve"> </v>
      </c>
      <c r="F37" s="90" t="str">
        <f>IF(LOOKUP(M37,PPTO!$J$8:$J$269,PPTO!H$8:H$269)=0," ",LOOKUP(M37,PPTO!$J$8:$J$269,PPTO!H$8:H$269))</f>
        <v xml:space="preserve"> </v>
      </c>
      <c r="G37" s="178">
        <v>18000</v>
      </c>
      <c r="H37" s="102" t="e">
        <f t="shared" si="1"/>
        <v>#VALUE!</v>
      </c>
      <c r="I37" s="174">
        <v>0</v>
      </c>
      <c r="J37" s="102" t="e">
        <f t="shared" si="2"/>
        <v>#VALUE!</v>
      </c>
      <c r="K37" s="102" t="e">
        <f>I37+'ACTA PARCIAL No.4'!K37</f>
        <v>#REF!</v>
      </c>
      <c r="L37" s="102" t="e">
        <f t="shared" si="3"/>
        <v>#REF!</v>
      </c>
      <c r="M37" s="108">
        <f t="shared" si="0"/>
        <v>21</v>
      </c>
    </row>
    <row r="38" spans="1:13">
      <c r="A38" s="87" t="str">
        <f>IF(LOOKUP(M38,PPTO!$J$8:$J$269,PPTO!A$8:A$269)=0," ",LOOKUP(M38,PPTO!$J$8:$J$269,PPTO!A$8:A$269))</f>
        <v>3.12</v>
      </c>
      <c r="B38" s="91" t="str">
        <f>IF(LOOKUP(M38,PPTO!$J$8:J$269,PPTO!B$8:B$269)=0," ",LOOKUP(M38,PPTO!$J$8:J$269,PPTO!B$8:B$269))</f>
        <v xml:space="preserve"> </v>
      </c>
      <c r="C38" s="89" t="str">
        <f>IF(LOOKUP(M38,PPTO!$J$8:$J$269,PPTO!D$8:D$269)=0," ",LOOKUP(M38,PPTO!$J$8:$J$269,PPTO!D$8:D$269))</f>
        <v>M3</v>
      </c>
      <c r="D38" s="90" t="str">
        <f>IF(LOOKUP(M38,PPTO!$J$8:$J$269,PPTO!E$8:E$269)=0," ",LOOKUP(M38,PPTO!$J$8:$J$269,PPTO!E$8:E$269))</f>
        <v xml:space="preserve"> </v>
      </c>
      <c r="E38" s="90" t="str">
        <f>IF(LOOKUP(M38,PPTO!$J$8:$J$269,PPTO!F$8:F$269)=0," ",LOOKUP(M38,PPTO!$J$8:$J$269,PPTO!F$8:F$269))</f>
        <v xml:space="preserve"> </v>
      </c>
      <c r="F38" s="90" t="str">
        <f>IF(LOOKUP(M38,PPTO!$J$8:$J$269,PPTO!H$8:H$269)=0," ",LOOKUP(M38,PPTO!$J$8:$J$269,PPTO!H$8:H$269))</f>
        <v xml:space="preserve"> </v>
      </c>
      <c r="G38" s="178">
        <v>3173.33</v>
      </c>
      <c r="H38" s="102" t="e">
        <f t="shared" si="1"/>
        <v>#VALUE!</v>
      </c>
      <c r="I38" s="174">
        <v>50.33</v>
      </c>
      <c r="J38" s="102" t="e">
        <f t="shared" si="2"/>
        <v>#VALUE!</v>
      </c>
      <c r="K38" s="102" t="e">
        <f>I38+'ACTA PARCIAL No.4'!K38</f>
        <v>#REF!</v>
      </c>
      <c r="L38" s="102" t="e">
        <f t="shared" si="3"/>
        <v>#REF!</v>
      </c>
      <c r="M38" s="108">
        <f t="shared" si="0"/>
        <v>22</v>
      </c>
    </row>
    <row r="39" spans="1:13">
      <c r="A39" s="87">
        <f>IF(LOOKUP(M39,PPTO!$J$8:$J$269,PPTO!A$8:A$269)=0," ",LOOKUP(M39,PPTO!$J$8:$J$269,PPTO!A$8:A$269))</f>
        <v>4</v>
      </c>
      <c r="B39" s="91" t="str">
        <f>IF(LOOKUP(M39,PPTO!$J$8:J$269,PPTO!B$8:B$269)=0," ",LOOKUP(M39,PPTO!$J$8:J$269,PPTO!B$8:B$269))</f>
        <v>TUBERIA DE ALCANTARILLADO</v>
      </c>
      <c r="C39" s="89" t="str">
        <f>IF(LOOKUP(M39,PPTO!$J$8:$J$269,PPTO!D$8:D$269)=0," ",LOOKUP(M39,PPTO!$J$8:$J$269,PPTO!D$8:D$269))</f>
        <v xml:space="preserve"> </v>
      </c>
      <c r="D39" s="90" t="str">
        <f>IF(LOOKUP(M39,PPTO!$J$8:$J$269,PPTO!E$8:E$269)=0," ",LOOKUP(M39,PPTO!$J$8:$J$269,PPTO!E$8:E$269))</f>
        <v xml:space="preserve"> </v>
      </c>
      <c r="E39" s="90" t="str">
        <f>IF(LOOKUP(M39,PPTO!$J$8:$J$269,PPTO!F$8:F$269)=0," ",LOOKUP(M39,PPTO!$J$8:$J$269,PPTO!F$8:F$269))</f>
        <v xml:space="preserve"> </v>
      </c>
      <c r="F39" s="90" t="str">
        <f>IF(LOOKUP(M39,PPTO!$J$8:$J$269,PPTO!H$8:H$269)=0," ",LOOKUP(M39,PPTO!$J$8:$J$269,PPTO!H$8:H$269))</f>
        <v xml:space="preserve"> </v>
      </c>
      <c r="G39" s="178"/>
      <c r="H39" s="102"/>
      <c r="I39" s="174"/>
      <c r="J39" s="102"/>
      <c r="K39" s="102"/>
      <c r="L39" s="102"/>
      <c r="M39" s="108">
        <f t="shared" si="0"/>
        <v>23</v>
      </c>
    </row>
    <row r="40" spans="1:13">
      <c r="A40" s="87" t="str">
        <f>IF(LOOKUP(M40,PPTO!$J$8:$J$269,PPTO!A$8:A$269)=0," ",LOOKUP(M40,PPTO!$J$8:$J$269,PPTO!A$8:A$269))</f>
        <v>4.01</v>
      </c>
      <c r="B40" s="91" t="str">
        <f>IF(LOOKUP(M40,PPTO!$J$8:J$269,PPTO!B$8:B$269)=0," ",LOOKUP(M40,PPTO!$J$8:J$269,PPTO!B$8:B$269))</f>
        <v xml:space="preserve"> </v>
      </c>
      <c r="C40" s="89" t="str">
        <f>IF(LOOKUP(M40,PPTO!$J$8:$J$269,PPTO!D$8:D$269)=0," ",LOOKUP(M40,PPTO!$J$8:$J$269,PPTO!D$8:D$269))</f>
        <v>ML</v>
      </c>
      <c r="D40" s="90" t="str">
        <f>IF(LOOKUP(M40,PPTO!$J$8:$J$269,PPTO!E$8:E$269)=0," ",LOOKUP(M40,PPTO!$J$8:$J$269,PPTO!E$8:E$269))</f>
        <v xml:space="preserve"> </v>
      </c>
      <c r="E40" s="90" t="str">
        <f>IF(LOOKUP(M40,PPTO!$J$8:$J$269,PPTO!F$8:F$269)=0," ",LOOKUP(M40,PPTO!$J$8:$J$269,PPTO!F$8:F$269))</f>
        <v xml:space="preserve"> </v>
      </c>
      <c r="F40" s="90" t="str">
        <f>IF(LOOKUP(M40,PPTO!$J$8:$J$269,PPTO!H$8:H$269)=0," ",LOOKUP(M40,PPTO!$J$8:$J$269,PPTO!H$8:H$269))</f>
        <v xml:space="preserve"> </v>
      </c>
      <c r="G40" s="178">
        <v>7554</v>
      </c>
      <c r="H40" s="102" t="e">
        <f t="shared" si="1"/>
        <v>#VALUE!</v>
      </c>
      <c r="I40" s="174">
        <v>0</v>
      </c>
      <c r="J40" s="102" t="e">
        <f t="shared" si="2"/>
        <v>#VALUE!</v>
      </c>
      <c r="K40" s="102" t="e">
        <f>I40+'ACTA PARCIAL No.4'!K40</f>
        <v>#REF!</v>
      </c>
      <c r="L40" s="102" t="e">
        <f t="shared" si="3"/>
        <v>#REF!</v>
      </c>
      <c r="M40" s="108">
        <f t="shared" si="0"/>
        <v>24</v>
      </c>
    </row>
    <row r="41" spans="1:13">
      <c r="A41" s="87" t="str">
        <f>IF(LOOKUP(M41,PPTO!$J$8:$J$269,PPTO!A$8:A$269)=0," ",LOOKUP(M41,PPTO!$J$8:$J$269,PPTO!A$8:A$269))</f>
        <v>4.02</v>
      </c>
      <c r="B41" s="91" t="str">
        <f>IF(LOOKUP(M41,PPTO!$J$8:J$269,PPTO!B$8:B$269)=0," ",LOOKUP(M41,PPTO!$J$8:J$269,PPTO!B$8:B$269))</f>
        <v xml:space="preserve"> </v>
      </c>
      <c r="C41" s="89" t="str">
        <f>IF(LOOKUP(M41,PPTO!$J$8:$J$269,PPTO!D$8:D$269)=0," ",LOOKUP(M41,PPTO!$J$8:$J$269,PPTO!D$8:D$269))</f>
        <v>ML</v>
      </c>
      <c r="D41" s="90" t="str">
        <f>IF(LOOKUP(M41,PPTO!$J$8:$J$269,PPTO!E$8:E$269)=0," ",LOOKUP(M41,PPTO!$J$8:$J$269,PPTO!E$8:E$269))</f>
        <v xml:space="preserve"> </v>
      </c>
      <c r="E41" s="90" t="str">
        <f>IF(LOOKUP(M41,PPTO!$J$8:$J$269,PPTO!F$8:F$269)=0," ",LOOKUP(M41,PPTO!$J$8:$J$269,PPTO!F$8:F$269))</f>
        <v xml:space="preserve"> </v>
      </c>
      <c r="F41" s="90" t="str">
        <f>IF(LOOKUP(M41,PPTO!$J$8:$J$269,PPTO!H$8:H$269)=0," ",LOOKUP(M41,PPTO!$J$8:$J$269,PPTO!H$8:H$269))</f>
        <v xml:space="preserve"> </v>
      </c>
      <c r="G41" s="178">
        <v>10629.07</v>
      </c>
      <c r="H41" s="102" t="e">
        <f t="shared" si="1"/>
        <v>#VALUE!</v>
      </c>
      <c r="I41" s="174">
        <v>0</v>
      </c>
      <c r="J41" s="102" t="e">
        <f t="shared" si="2"/>
        <v>#VALUE!</v>
      </c>
      <c r="K41" s="102" t="e">
        <f>I41+'ACTA PARCIAL No.4'!K41</f>
        <v>#REF!</v>
      </c>
      <c r="L41" s="102" t="e">
        <f t="shared" si="3"/>
        <v>#REF!</v>
      </c>
      <c r="M41" s="108">
        <f t="shared" si="0"/>
        <v>25</v>
      </c>
    </row>
    <row r="42" spans="1:13">
      <c r="A42" s="87" t="str">
        <f>IF(LOOKUP(M42,PPTO!$J$8:$J$269,PPTO!A$8:A$269)=0," ",LOOKUP(M42,PPTO!$J$8:$J$269,PPTO!A$8:A$269))</f>
        <v>4.03</v>
      </c>
      <c r="B42" s="91" t="str">
        <f>IF(LOOKUP(M42,PPTO!$J$8:J$269,PPTO!B$8:B$269)=0," ",LOOKUP(M42,PPTO!$J$8:J$269,PPTO!B$8:B$269))</f>
        <v xml:space="preserve"> </v>
      </c>
      <c r="C42" s="89" t="str">
        <f>IF(LOOKUP(M42,PPTO!$J$8:$J$269,PPTO!D$8:D$269)=0," ",LOOKUP(M42,PPTO!$J$8:$J$269,PPTO!D$8:D$269))</f>
        <v>ML</v>
      </c>
      <c r="D42" s="90" t="str">
        <f>IF(LOOKUP(M42,PPTO!$J$8:$J$269,PPTO!E$8:E$269)=0," ",LOOKUP(M42,PPTO!$J$8:$J$269,PPTO!E$8:E$269))</f>
        <v xml:space="preserve"> </v>
      </c>
      <c r="E42" s="90" t="str">
        <f>IF(LOOKUP(M42,PPTO!$J$8:$J$269,PPTO!F$8:F$269)=0," ",LOOKUP(M42,PPTO!$J$8:$J$269,PPTO!F$8:F$269))</f>
        <v xml:space="preserve"> </v>
      </c>
      <c r="F42" s="90" t="str">
        <f>IF(LOOKUP(M42,PPTO!$J$8:$J$269,PPTO!H$8:H$269)=0," ",LOOKUP(M42,PPTO!$J$8:$J$269,PPTO!H$8:H$269))</f>
        <v xml:space="preserve"> </v>
      </c>
      <c r="G42" s="178">
        <v>119.02</v>
      </c>
      <c r="H42" s="102" t="e">
        <f t="shared" si="1"/>
        <v>#VALUE!</v>
      </c>
      <c r="I42" s="174">
        <v>0</v>
      </c>
      <c r="J42" s="102" t="e">
        <f t="shared" si="2"/>
        <v>#VALUE!</v>
      </c>
      <c r="K42" s="102" t="e">
        <f>I42+'ACTA PARCIAL No.4'!K42</f>
        <v>#REF!</v>
      </c>
      <c r="L42" s="102" t="e">
        <f t="shared" si="3"/>
        <v>#REF!</v>
      </c>
      <c r="M42" s="108">
        <f t="shared" si="0"/>
        <v>26</v>
      </c>
    </row>
    <row r="43" spans="1:13">
      <c r="A43" s="87" t="str">
        <f>IF(LOOKUP(M43,PPTO!$J$8:$J$269,PPTO!A$8:A$269)=0," ",LOOKUP(M43,PPTO!$J$8:$J$269,PPTO!A$8:A$269))</f>
        <v>4.04</v>
      </c>
      <c r="B43" s="91" t="str">
        <f>IF(LOOKUP(M43,PPTO!$J$8:J$269,PPTO!B$8:B$269)=0," ",LOOKUP(M43,PPTO!$J$8:J$269,PPTO!B$8:B$269))</f>
        <v xml:space="preserve"> </v>
      </c>
      <c r="C43" s="89" t="str">
        <f>IF(LOOKUP(M43,PPTO!$J$8:$J$269,PPTO!D$8:D$269)=0," ",LOOKUP(M43,PPTO!$J$8:$J$269,PPTO!D$8:D$269))</f>
        <v>ML</v>
      </c>
      <c r="D43" s="90" t="str">
        <f>IF(LOOKUP(M43,PPTO!$J$8:$J$269,PPTO!E$8:E$269)=0," ",LOOKUP(M43,PPTO!$J$8:$J$269,PPTO!E$8:E$269))</f>
        <v xml:space="preserve"> </v>
      </c>
      <c r="E43" s="90" t="str">
        <f>IF(LOOKUP(M43,PPTO!$J$8:$J$269,PPTO!F$8:F$269)=0," ",LOOKUP(M43,PPTO!$J$8:$J$269,PPTO!F$8:F$269))</f>
        <v xml:space="preserve"> </v>
      </c>
      <c r="F43" s="90" t="str">
        <f>IF(LOOKUP(M43,PPTO!$J$8:$J$269,PPTO!H$8:H$269)=0," ",LOOKUP(M43,PPTO!$J$8:$J$269,PPTO!H$8:H$269))</f>
        <v xml:space="preserve"> </v>
      </c>
      <c r="G43" s="178">
        <v>293.73</v>
      </c>
      <c r="H43" s="102" t="e">
        <f t="shared" si="1"/>
        <v>#VALUE!</v>
      </c>
      <c r="I43" s="174">
        <v>0</v>
      </c>
      <c r="J43" s="102" t="e">
        <f t="shared" si="2"/>
        <v>#VALUE!</v>
      </c>
      <c r="K43" s="102" t="e">
        <f>I43+'ACTA PARCIAL No.4'!K43</f>
        <v>#REF!</v>
      </c>
      <c r="L43" s="102" t="e">
        <f t="shared" si="3"/>
        <v>#REF!</v>
      </c>
      <c r="M43" s="108">
        <f t="shared" si="0"/>
        <v>27</v>
      </c>
    </row>
    <row r="44" spans="1:13">
      <c r="A44" s="87" t="str">
        <f>IF(LOOKUP(M44,PPTO!$J$8:$J$269,PPTO!A$8:A$269)=0," ",LOOKUP(M44,PPTO!$J$8:$J$269,PPTO!A$8:A$269))</f>
        <v>4.05</v>
      </c>
      <c r="B44" s="91" t="str">
        <f>IF(LOOKUP(M44,PPTO!$J$8:J$269,PPTO!B$8:B$269)=0," ",LOOKUP(M44,PPTO!$J$8:J$269,PPTO!B$8:B$269))</f>
        <v xml:space="preserve"> </v>
      </c>
      <c r="C44" s="89" t="str">
        <f>IF(LOOKUP(M44,PPTO!$J$8:$J$269,PPTO!D$8:D$269)=0," ",LOOKUP(M44,PPTO!$J$8:$J$269,PPTO!D$8:D$269))</f>
        <v>ML</v>
      </c>
      <c r="D44" s="90" t="str">
        <f>IF(LOOKUP(M44,PPTO!$J$8:$J$269,PPTO!E$8:E$269)=0," ",LOOKUP(M44,PPTO!$J$8:$J$269,PPTO!E$8:E$269))</f>
        <v xml:space="preserve"> </v>
      </c>
      <c r="E44" s="90" t="str">
        <f>IF(LOOKUP(M44,PPTO!$J$8:$J$269,PPTO!F$8:F$269)=0," ",LOOKUP(M44,PPTO!$J$8:$J$269,PPTO!F$8:F$269))</f>
        <v xml:space="preserve"> </v>
      </c>
      <c r="F44" s="90" t="str">
        <f>IF(LOOKUP(M44,PPTO!$J$8:$J$269,PPTO!H$8:H$269)=0," ",LOOKUP(M44,PPTO!$J$8:$J$269,PPTO!H$8:H$269))</f>
        <v xml:space="preserve"> </v>
      </c>
      <c r="G44" s="178">
        <v>912.33</v>
      </c>
      <c r="H44" s="102" t="e">
        <f t="shared" si="1"/>
        <v>#VALUE!</v>
      </c>
      <c r="I44" s="174">
        <v>0</v>
      </c>
      <c r="J44" s="102" t="e">
        <f t="shared" si="2"/>
        <v>#VALUE!</v>
      </c>
      <c r="K44" s="102" t="e">
        <f>I44+'ACTA PARCIAL No.4'!K44</f>
        <v>#REF!</v>
      </c>
      <c r="L44" s="102" t="e">
        <f t="shared" si="3"/>
        <v>#REF!</v>
      </c>
      <c r="M44" s="108">
        <f t="shared" si="0"/>
        <v>28</v>
      </c>
    </row>
    <row r="45" spans="1:13">
      <c r="A45" s="87" t="str">
        <f>IF(LOOKUP(M45,PPTO!$J$8:$J$269,PPTO!A$8:A$269)=0," ",LOOKUP(M45,PPTO!$J$8:$J$269,PPTO!A$8:A$269))</f>
        <v>4.06</v>
      </c>
      <c r="B45" s="91" t="str">
        <f>IF(LOOKUP(M45,PPTO!$J$8:J$269,PPTO!B$8:B$269)=0," ",LOOKUP(M45,PPTO!$J$8:J$269,PPTO!B$8:B$269))</f>
        <v xml:space="preserve"> </v>
      </c>
      <c r="C45" s="89" t="str">
        <f>IF(LOOKUP(M45,PPTO!$J$8:$J$269,PPTO!D$8:D$269)=0," ",LOOKUP(M45,PPTO!$J$8:$J$269,PPTO!D$8:D$269))</f>
        <v>UND</v>
      </c>
      <c r="D45" s="90" t="str">
        <f>IF(LOOKUP(M45,PPTO!$J$8:$J$269,PPTO!E$8:E$269)=0," ",LOOKUP(M45,PPTO!$J$8:$J$269,PPTO!E$8:E$269))</f>
        <v xml:space="preserve"> </v>
      </c>
      <c r="E45" s="90" t="str">
        <f>IF(LOOKUP(M45,PPTO!$J$8:$J$269,PPTO!F$8:F$269)=0," ",LOOKUP(M45,PPTO!$J$8:$J$269,PPTO!F$8:F$269))</f>
        <v xml:space="preserve"> </v>
      </c>
      <c r="F45" s="90" t="str">
        <f>IF(LOOKUP(M45,PPTO!$J$8:$J$269,PPTO!H$8:H$269)=0," ",LOOKUP(M45,PPTO!$J$8:$J$269,PPTO!H$8:H$269))</f>
        <v xml:space="preserve"> </v>
      </c>
      <c r="G45" s="178">
        <v>1259</v>
      </c>
      <c r="H45" s="102" t="e">
        <f t="shared" si="1"/>
        <v>#VALUE!</v>
      </c>
      <c r="I45" s="174">
        <v>0</v>
      </c>
      <c r="J45" s="102" t="e">
        <f t="shared" si="2"/>
        <v>#VALUE!</v>
      </c>
      <c r="K45" s="102" t="e">
        <f>I45+'ACTA PARCIAL No.4'!K45</f>
        <v>#REF!</v>
      </c>
      <c r="L45" s="102" t="e">
        <f t="shared" si="3"/>
        <v>#REF!</v>
      </c>
      <c r="M45" s="108">
        <f t="shared" si="0"/>
        <v>29</v>
      </c>
    </row>
    <row r="46" spans="1:13">
      <c r="A46" s="87" t="str">
        <f>IF(LOOKUP(M46,PPTO!$J$8:$J$269,PPTO!A$8:A$269)=0," ",LOOKUP(M46,PPTO!$J$8:$J$269,PPTO!A$8:A$269))</f>
        <v>4.09</v>
      </c>
      <c r="B46" s="91" t="str">
        <f>IF(LOOKUP(M46,PPTO!$J$8:J$269,PPTO!B$8:B$269)=0," ",LOOKUP(M46,PPTO!$J$8:J$269,PPTO!B$8:B$269))</f>
        <v xml:space="preserve"> </v>
      </c>
      <c r="C46" s="89" t="str">
        <f>IF(LOOKUP(M46,PPTO!$J$8:$J$269,PPTO!D$8:D$269)=0," ",LOOKUP(M46,PPTO!$J$8:$J$269,PPTO!D$8:D$269))</f>
        <v>M3</v>
      </c>
      <c r="D46" s="90" t="str">
        <f>IF(LOOKUP(M46,PPTO!$J$8:$J$269,PPTO!E$8:E$269)=0," ",LOOKUP(M46,PPTO!$J$8:$J$269,PPTO!E$8:E$269))</f>
        <v xml:space="preserve"> </v>
      </c>
      <c r="E46" s="90" t="str">
        <f>IF(LOOKUP(M46,PPTO!$J$8:$J$269,PPTO!F$8:F$269)=0," ",LOOKUP(M46,PPTO!$J$8:$J$269,PPTO!F$8:F$269))</f>
        <v xml:space="preserve"> </v>
      </c>
      <c r="F46" s="90" t="str">
        <f>IF(LOOKUP(M46,PPTO!$J$8:$J$269,PPTO!H$8:H$269)=0," ",LOOKUP(M46,PPTO!$J$8:$J$269,PPTO!H$8:H$269))</f>
        <v xml:space="preserve"> </v>
      </c>
      <c r="G46" s="178">
        <v>453.24</v>
      </c>
      <c r="H46" s="102" t="e">
        <f t="shared" si="1"/>
        <v>#VALUE!</v>
      </c>
      <c r="I46" s="174">
        <v>0</v>
      </c>
      <c r="J46" s="102" t="e">
        <f t="shared" si="2"/>
        <v>#VALUE!</v>
      </c>
      <c r="K46" s="102" t="e">
        <f>I46+'ACTA PARCIAL No.4'!K46</f>
        <v>#REF!</v>
      </c>
      <c r="L46" s="102" t="e">
        <f t="shared" si="3"/>
        <v>#REF!</v>
      </c>
      <c r="M46" s="108">
        <f t="shared" si="0"/>
        <v>30</v>
      </c>
    </row>
    <row r="47" spans="1:13">
      <c r="A47" s="87" t="str">
        <f>IF(LOOKUP(M47,PPTO!$J$8:$J$269,PPTO!A$8:A$269)=0," ",LOOKUP(M47,PPTO!$J$8:$J$269,PPTO!A$8:A$269))</f>
        <v>4.10</v>
      </c>
      <c r="B47" s="91" t="str">
        <f>IF(LOOKUP(M47,PPTO!$J$8:J$269,PPTO!B$8:B$269)=0," ",LOOKUP(M47,PPTO!$J$8:J$269,PPTO!B$8:B$269))</f>
        <v xml:space="preserve"> </v>
      </c>
      <c r="C47" s="89" t="str">
        <f>IF(LOOKUP(M47,PPTO!$J$8:$J$269,PPTO!D$8:D$269)=0," ",LOOKUP(M47,PPTO!$J$8:$J$269,PPTO!D$8:D$269))</f>
        <v>M3</v>
      </c>
      <c r="D47" s="90" t="str">
        <f>IF(LOOKUP(M47,PPTO!$J$8:$J$269,PPTO!E$8:E$269)=0," ",LOOKUP(M47,PPTO!$J$8:$J$269,PPTO!E$8:E$269))</f>
        <v xml:space="preserve"> </v>
      </c>
      <c r="E47" s="90" t="str">
        <f>IF(LOOKUP(M47,PPTO!$J$8:$J$269,PPTO!F$8:F$269)=0," ",LOOKUP(M47,PPTO!$J$8:$J$269,PPTO!F$8:F$269))</f>
        <v xml:space="preserve"> </v>
      </c>
      <c r="F47" s="90" t="str">
        <f>IF(LOOKUP(M47,PPTO!$J$8:$J$269,PPTO!H$8:H$269)=0," ",LOOKUP(M47,PPTO!$J$8:$J$269,PPTO!H$8:H$269))</f>
        <v xml:space="preserve"> </v>
      </c>
      <c r="G47" s="178">
        <v>2381.3200000000002</v>
      </c>
      <c r="H47" s="102" t="e">
        <f t="shared" si="1"/>
        <v>#VALUE!</v>
      </c>
      <c r="I47" s="174">
        <v>0</v>
      </c>
      <c r="J47" s="102" t="e">
        <f t="shared" si="2"/>
        <v>#VALUE!</v>
      </c>
      <c r="K47" s="102" t="e">
        <f>I47+'ACTA PARCIAL No.4'!K47</f>
        <v>#REF!</v>
      </c>
      <c r="L47" s="102" t="e">
        <f t="shared" si="3"/>
        <v>#REF!</v>
      </c>
      <c r="M47" s="108">
        <f t="shared" si="0"/>
        <v>31</v>
      </c>
    </row>
    <row r="48" spans="1:13">
      <c r="A48" s="87">
        <f>IF(LOOKUP(M48,PPTO!$J$8:$J$269,PPTO!A$8:A$269)=0," ",LOOKUP(M48,PPTO!$J$8:$J$269,PPTO!A$8:A$269))</f>
        <v>5</v>
      </c>
      <c r="B48" s="91" t="str">
        <f>IF(LOOKUP(M48,PPTO!$J$8:J$269,PPTO!B$8:B$269)=0," ",LOOKUP(M48,PPTO!$J$8:J$269,PPTO!B$8:B$269))</f>
        <v>ESTRUCTURAS SANITARIAS EN CONCRETO</v>
      </c>
      <c r="C48" s="89" t="str">
        <f>IF(LOOKUP(M48,PPTO!$J$8:$J$269,PPTO!D$8:D$269)=0," ",LOOKUP(M48,PPTO!$J$8:$J$269,PPTO!D$8:D$269))</f>
        <v xml:space="preserve"> </v>
      </c>
      <c r="D48" s="90" t="str">
        <f>IF(LOOKUP(M48,PPTO!$J$8:$J$269,PPTO!E$8:E$269)=0," ",LOOKUP(M48,PPTO!$J$8:$J$269,PPTO!E$8:E$269))</f>
        <v xml:space="preserve"> </v>
      </c>
      <c r="E48" s="90" t="str">
        <f>IF(LOOKUP(M48,PPTO!$J$8:$J$269,PPTO!F$8:F$269)=0," ",LOOKUP(M48,PPTO!$J$8:$J$269,PPTO!F$8:F$269))</f>
        <v xml:space="preserve"> </v>
      </c>
      <c r="F48" s="90" t="str">
        <f>IF(LOOKUP(M48,PPTO!$J$8:$J$269,PPTO!H$8:H$269)=0," ",LOOKUP(M48,PPTO!$J$8:$J$269,PPTO!H$8:H$269))</f>
        <v xml:space="preserve"> </v>
      </c>
      <c r="G48" s="178"/>
      <c r="H48" s="102"/>
      <c r="I48" s="174"/>
      <c r="J48" s="102"/>
      <c r="K48" s="102"/>
      <c r="L48" s="102"/>
      <c r="M48" s="108">
        <f t="shared" si="0"/>
        <v>32</v>
      </c>
    </row>
    <row r="49" spans="1:13">
      <c r="A49" s="87" t="str">
        <f>IF(LOOKUP(M49,PPTO!$J$8:$J$269,PPTO!A$8:A$269)=0," ",LOOKUP(M49,PPTO!$J$8:$J$269,PPTO!A$8:A$269))</f>
        <v>5.01</v>
      </c>
      <c r="B49" s="91" t="str">
        <f>IF(LOOKUP(M49,PPTO!$J$8:J$269,PPTO!B$8:B$269)=0," ",LOOKUP(M49,PPTO!$J$8:J$269,PPTO!B$8:B$269))</f>
        <v xml:space="preserve"> </v>
      </c>
      <c r="C49" s="89" t="str">
        <f>IF(LOOKUP(M49,PPTO!$J$8:$J$269,PPTO!D$8:D$269)=0," ",LOOKUP(M49,PPTO!$J$8:$J$269,PPTO!D$8:D$269))</f>
        <v>M3</v>
      </c>
      <c r="D49" s="90" t="str">
        <f>IF(LOOKUP(M49,PPTO!$J$8:$J$269,PPTO!E$8:E$269)=0," ",LOOKUP(M49,PPTO!$J$8:$J$269,PPTO!E$8:E$269))</f>
        <v xml:space="preserve"> </v>
      </c>
      <c r="E49" s="90" t="str">
        <f>IF(LOOKUP(M49,PPTO!$J$8:$J$269,PPTO!F$8:F$269)=0," ",LOOKUP(M49,PPTO!$J$8:$J$269,PPTO!F$8:F$269))</f>
        <v xml:space="preserve"> </v>
      </c>
      <c r="F49" s="90" t="str">
        <f>IF(LOOKUP(M49,PPTO!$J$8:$J$269,PPTO!H$8:H$269)=0," ",LOOKUP(M49,PPTO!$J$8:$J$269,PPTO!H$8:H$269))</f>
        <v xml:space="preserve"> </v>
      </c>
      <c r="G49" s="178">
        <v>293.73</v>
      </c>
      <c r="H49" s="102" t="e">
        <f t="shared" si="1"/>
        <v>#VALUE!</v>
      </c>
      <c r="I49" s="174">
        <v>0</v>
      </c>
      <c r="J49" s="102" t="e">
        <f t="shared" si="2"/>
        <v>#VALUE!</v>
      </c>
      <c r="K49" s="102" t="e">
        <f>I49+'ACTA PARCIAL No.4'!K49</f>
        <v>#REF!</v>
      </c>
      <c r="L49" s="102" t="e">
        <f t="shared" si="3"/>
        <v>#REF!</v>
      </c>
      <c r="M49" s="108">
        <f t="shared" si="0"/>
        <v>33</v>
      </c>
    </row>
    <row r="50" spans="1:13">
      <c r="A50" s="87" t="str">
        <f>IF(LOOKUP(M50,PPTO!$J$8:$J$269,PPTO!A$8:A$269)=0," ",LOOKUP(M50,PPTO!$J$8:$J$269,PPTO!A$8:A$269))</f>
        <v>5.02</v>
      </c>
      <c r="B50" s="91" t="str">
        <f>IF(LOOKUP(M50,PPTO!$J$8:J$269,PPTO!B$8:B$269)=0," ",LOOKUP(M50,PPTO!$J$8:J$269,PPTO!B$8:B$269))</f>
        <v xml:space="preserve"> </v>
      </c>
      <c r="C50" s="89" t="str">
        <f>IF(LOOKUP(M50,PPTO!$J$8:$J$269,PPTO!D$8:D$269)=0," ",LOOKUP(M50,PPTO!$J$8:$J$269,PPTO!D$8:D$269))</f>
        <v>UND</v>
      </c>
      <c r="D50" s="90" t="str">
        <f>IF(LOOKUP(M50,PPTO!$J$8:$J$269,PPTO!E$8:E$269)=0," ",LOOKUP(M50,PPTO!$J$8:$J$269,PPTO!E$8:E$269))</f>
        <v xml:space="preserve"> </v>
      </c>
      <c r="E50" s="90" t="str">
        <f>IF(LOOKUP(M50,PPTO!$J$8:$J$269,PPTO!F$8:F$269)=0," ",LOOKUP(M50,PPTO!$J$8:$J$269,PPTO!F$8:F$269))</f>
        <v xml:space="preserve"> </v>
      </c>
      <c r="F50" s="90" t="str">
        <f>IF(LOOKUP(M50,PPTO!$J$8:$J$269,PPTO!H$8:H$269)=0," ",LOOKUP(M50,PPTO!$J$8:$J$269,PPTO!H$8:H$269))</f>
        <v xml:space="preserve"> </v>
      </c>
      <c r="G50" s="178">
        <v>912.33</v>
      </c>
      <c r="H50" s="102" t="e">
        <f t="shared" si="1"/>
        <v>#VALUE!</v>
      </c>
      <c r="I50" s="174">
        <v>0</v>
      </c>
      <c r="J50" s="102" t="e">
        <f t="shared" si="2"/>
        <v>#VALUE!</v>
      </c>
      <c r="K50" s="102" t="e">
        <f>I50+'ACTA PARCIAL No.4'!K50</f>
        <v>#REF!</v>
      </c>
      <c r="L50" s="102" t="e">
        <f t="shared" si="3"/>
        <v>#REF!</v>
      </c>
      <c r="M50" s="108">
        <f t="shared" si="0"/>
        <v>34</v>
      </c>
    </row>
    <row r="51" spans="1:13">
      <c r="A51" s="87" t="str">
        <f>IF(LOOKUP(M51,PPTO!$J$8:$J$269,PPTO!A$8:A$269)=0," ",LOOKUP(M51,PPTO!$J$8:$J$269,PPTO!A$8:A$269))</f>
        <v>5.03</v>
      </c>
      <c r="B51" s="91" t="str">
        <f>IF(LOOKUP(M51,PPTO!$J$8:J$269,PPTO!B$8:B$269)=0," ",LOOKUP(M51,PPTO!$J$8:J$269,PPTO!B$8:B$269))</f>
        <v xml:space="preserve"> </v>
      </c>
      <c r="C51" s="89" t="str">
        <f>IF(LOOKUP(M51,PPTO!$J$8:$J$269,PPTO!D$8:D$269)=0," ",LOOKUP(M51,PPTO!$J$8:$J$269,PPTO!D$8:D$269))</f>
        <v>UND</v>
      </c>
      <c r="D51" s="90" t="str">
        <f>IF(LOOKUP(M51,PPTO!$J$8:$J$269,PPTO!E$8:E$269)=0," ",LOOKUP(M51,PPTO!$J$8:$J$269,PPTO!E$8:E$269))</f>
        <v xml:space="preserve"> </v>
      </c>
      <c r="E51" s="90" t="str">
        <f>IF(LOOKUP(M51,PPTO!$J$8:$J$269,PPTO!F$8:F$269)=0," ",LOOKUP(M51,PPTO!$J$8:$J$269,PPTO!F$8:F$269))</f>
        <v xml:space="preserve"> </v>
      </c>
      <c r="F51" s="90" t="str">
        <f>IF(LOOKUP(M51,PPTO!$J$8:$J$269,PPTO!H$8:H$269)=0," ",LOOKUP(M51,PPTO!$J$8:$J$269,PPTO!H$8:H$269))</f>
        <v xml:space="preserve"> </v>
      </c>
      <c r="G51" s="178">
        <v>1259</v>
      </c>
      <c r="H51" s="102" t="e">
        <f t="shared" si="1"/>
        <v>#VALUE!</v>
      </c>
      <c r="I51" s="174">
        <v>0</v>
      </c>
      <c r="J51" s="102" t="e">
        <f t="shared" si="2"/>
        <v>#VALUE!</v>
      </c>
      <c r="K51" s="102" t="e">
        <f>I51+'ACTA PARCIAL No.4'!K51</f>
        <v>#REF!</v>
      </c>
      <c r="L51" s="102" t="e">
        <f t="shared" si="3"/>
        <v>#REF!</v>
      </c>
      <c r="M51" s="108">
        <f t="shared" si="0"/>
        <v>35</v>
      </c>
    </row>
    <row r="52" spans="1:13">
      <c r="A52" s="87" t="str">
        <f>IF(LOOKUP(M52,PPTO!$J$8:$J$269,PPTO!A$8:A$269)=0," ",LOOKUP(M52,PPTO!$J$8:$J$269,PPTO!A$8:A$269))</f>
        <v>5.04</v>
      </c>
      <c r="B52" s="91" t="str">
        <f>IF(LOOKUP(M52,PPTO!$J$8:J$269,PPTO!B$8:B$269)=0," ",LOOKUP(M52,PPTO!$J$8:J$269,PPTO!B$8:B$269))</f>
        <v xml:space="preserve"> </v>
      </c>
      <c r="C52" s="89" t="str">
        <f>IF(LOOKUP(M52,PPTO!$J$8:$J$269,PPTO!D$8:D$269)=0," ",LOOKUP(M52,PPTO!$J$8:$J$269,PPTO!D$8:D$269))</f>
        <v>UND</v>
      </c>
      <c r="D52" s="90" t="str">
        <f>IF(LOOKUP(M52,PPTO!$J$8:$J$269,PPTO!E$8:E$269)=0," ",LOOKUP(M52,PPTO!$J$8:$J$269,PPTO!E$8:E$269))</f>
        <v xml:space="preserve"> </v>
      </c>
      <c r="E52" s="90" t="str">
        <f>IF(LOOKUP(M52,PPTO!$J$8:$J$269,PPTO!F$8:F$269)=0," ",LOOKUP(M52,PPTO!$J$8:$J$269,PPTO!F$8:F$269))</f>
        <v xml:space="preserve"> </v>
      </c>
      <c r="F52" s="90" t="str">
        <f>IF(LOOKUP(M52,PPTO!$J$8:$J$269,PPTO!H$8:H$269)=0," ",LOOKUP(M52,PPTO!$J$8:$J$269,PPTO!H$8:H$269))</f>
        <v xml:space="preserve"> </v>
      </c>
      <c r="G52" s="178">
        <v>140</v>
      </c>
      <c r="H52" s="102" t="e">
        <f t="shared" si="1"/>
        <v>#VALUE!</v>
      </c>
      <c r="I52" s="174">
        <v>0</v>
      </c>
      <c r="J52" s="102" t="e">
        <f t="shared" si="2"/>
        <v>#VALUE!</v>
      </c>
      <c r="K52" s="102" t="e">
        <f>I52+'ACTA PARCIAL No.4'!K52</f>
        <v>#REF!</v>
      </c>
      <c r="L52" s="102" t="e">
        <f t="shared" si="3"/>
        <v>#REF!</v>
      </c>
      <c r="M52" s="108">
        <f t="shared" si="0"/>
        <v>36</v>
      </c>
    </row>
    <row r="53" spans="1:13">
      <c r="A53" s="87" t="str">
        <f>IF(LOOKUP(M53,PPTO!$J$8:$J$269,PPTO!A$8:A$269)=0," ",LOOKUP(M53,PPTO!$J$8:$J$269,PPTO!A$8:A$269))</f>
        <v>5.05</v>
      </c>
      <c r="B53" s="91" t="str">
        <f>IF(LOOKUP(M53,PPTO!$J$8:J$269,PPTO!B$8:B$269)=0," ",LOOKUP(M53,PPTO!$J$8:J$269,PPTO!B$8:B$269))</f>
        <v xml:space="preserve"> </v>
      </c>
      <c r="C53" s="89" t="str">
        <f>IF(LOOKUP(M53,PPTO!$J$8:$J$269,PPTO!D$8:D$269)=0," ",LOOKUP(M53,PPTO!$J$8:$J$269,PPTO!D$8:D$269))</f>
        <v>UND</v>
      </c>
      <c r="D53" s="90" t="str">
        <f>IF(LOOKUP(M53,PPTO!$J$8:$J$269,PPTO!E$8:E$269)=0," ",LOOKUP(M53,PPTO!$J$8:$J$269,PPTO!E$8:E$269))</f>
        <v xml:space="preserve"> </v>
      </c>
      <c r="E53" s="90" t="str">
        <f>IF(LOOKUP(M53,PPTO!$J$8:$J$269,PPTO!F$8:F$269)=0," ",LOOKUP(M53,PPTO!$J$8:$J$269,PPTO!F$8:F$269))</f>
        <v xml:space="preserve"> </v>
      </c>
      <c r="F53" s="90" t="str">
        <f>IF(LOOKUP(M53,PPTO!$J$8:$J$269,PPTO!H$8:H$269)=0," ",LOOKUP(M53,PPTO!$J$8:$J$269,PPTO!H$8:H$269))</f>
        <v xml:space="preserve"> </v>
      </c>
      <c r="G53" s="178">
        <v>84</v>
      </c>
      <c r="H53" s="102" t="e">
        <f t="shared" si="1"/>
        <v>#VALUE!</v>
      </c>
      <c r="I53" s="174">
        <v>0</v>
      </c>
      <c r="J53" s="102" t="e">
        <f t="shared" si="2"/>
        <v>#VALUE!</v>
      </c>
      <c r="K53" s="102" t="e">
        <f>I53+'ACTA PARCIAL No.4'!K53</f>
        <v>#REF!</v>
      </c>
      <c r="L53" s="102" t="e">
        <f t="shared" si="3"/>
        <v>#REF!</v>
      </c>
      <c r="M53" s="108">
        <f t="shared" si="0"/>
        <v>37</v>
      </c>
    </row>
    <row r="54" spans="1:13">
      <c r="A54" s="87" t="str">
        <f>IF(LOOKUP(M54,PPTO!$J$8:$J$269,PPTO!A$8:A$269)=0," ",LOOKUP(M54,PPTO!$J$8:$J$269,PPTO!A$8:A$269))</f>
        <v>5.06</v>
      </c>
      <c r="B54" s="91" t="str">
        <f>IF(LOOKUP(M54,PPTO!$J$8:J$269,PPTO!B$8:B$269)=0," ",LOOKUP(M54,PPTO!$J$8:J$269,PPTO!B$8:B$269))</f>
        <v xml:space="preserve"> </v>
      </c>
      <c r="C54" s="89" t="str">
        <f>IF(LOOKUP(M54,PPTO!$J$8:$J$269,PPTO!D$8:D$269)=0," ",LOOKUP(M54,PPTO!$J$8:$J$269,PPTO!D$8:D$269))</f>
        <v>UND</v>
      </c>
      <c r="D54" s="90" t="str">
        <f>IF(LOOKUP(M54,PPTO!$J$8:$J$269,PPTO!E$8:E$269)=0," ",LOOKUP(M54,PPTO!$J$8:$J$269,PPTO!E$8:E$269))</f>
        <v xml:space="preserve"> </v>
      </c>
      <c r="E54" s="90" t="str">
        <f>IF(LOOKUP(M54,PPTO!$J$8:$J$269,PPTO!F$8:F$269)=0," ",LOOKUP(M54,PPTO!$J$8:$J$269,PPTO!F$8:F$269))</f>
        <v xml:space="preserve"> </v>
      </c>
      <c r="F54" s="90" t="str">
        <f>IF(LOOKUP(M54,PPTO!$J$8:$J$269,PPTO!H$8:H$269)=0," ",LOOKUP(M54,PPTO!$J$8:$J$269,PPTO!H$8:H$269))</f>
        <v xml:space="preserve"> </v>
      </c>
      <c r="G54" s="178">
        <v>19</v>
      </c>
      <c r="H54" s="102" t="e">
        <f t="shared" si="1"/>
        <v>#VALUE!</v>
      </c>
      <c r="I54" s="174">
        <v>0</v>
      </c>
      <c r="J54" s="102" t="e">
        <f t="shared" si="2"/>
        <v>#VALUE!</v>
      </c>
      <c r="K54" s="102" t="e">
        <f>I54+'ACTA PARCIAL No.4'!K54</f>
        <v>#REF!</v>
      </c>
      <c r="L54" s="102" t="e">
        <f t="shared" si="3"/>
        <v>#REF!</v>
      </c>
      <c r="M54" s="108">
        <f t="shared" si="0"/>
        <v>38</v>
      </c>
    </row>
    <row r="55" spans="1:13">
      <c r="A55" s="87">
        <f>IF(LOOKUP(M55,PPTO!$J$8:$J$269,PPTO!A$8:A$269)=0," ",LOOKUP(M55,PPTO!$J$8:$J$269,PPTO!A$8:A$269))</f>
        <v>6</v>
      </c>
      <c r="B55" s="91" t="str">
        <f>IF(LOOKUP(M55,PPTO!$J$8:J$269,PPTO!B$8:B$269)=0," ",LOOKUP(M55,PPTO!$J$8:J$269,PPTO!B$8:B$269))</f>
        <v>CONSTRUCCION DE PAVIMENTOS</v>
      </c>
      <c r="C55" s="89" t="str">
        <f>IF(LOOKUP(M55,PPTO!$J$8:$J$269,PPTO!D$8:D$269)=0," ",LOOKUP(M55,PPTO!$J$8:$J$269,PPTO!D$8:D$269))</f>
        <v xml:space="preserve"> </v>
      </c>
      <c r="D55" s="90" t="str">
        <f>IF(LOOKUP(M55,PPTO!$J$8:$J$269,PPTO!E$8:E$269)=0," ",LOOKUP(M55,PPTO!$J$8:$J$269,PPTO!E$8:E$269))</f>
        <v xml:space="preserve"> </v>
      </c>
      <c r="E55" s="90" t="str">
        <f>IF(LOOKUP(M55,PPTO!$J$8:$J$269,PPTO!F$8:F$269)=0," ",LOOKUP(M55,PPTO!$J$8:$J$269,PPTO!F$8:F$269))</f>
        <v xml:space="preserve"> </v>
      </c>
      <c r="F55" s="90" t="str">
        <f>IF(LOOKUP(M55,PPTO!$J$8:$J$269,PPTO!H$8:H$269)=0," ",LOOKUP(M55,PPTO!$J$8:$J$269,PPTO!H$8:H$269))</f>
        <v xml:space="preserve"> </v>
      </c>
      <c r="G55" s="178"/>
      <c r="H55" s="102"/>
      <c r="I55" s="174"/>
      <c r="J55" s="102"/>
      <c r="K55" s="102"/>
      <c r="L55" s="102"/>
      <c r="M55" s="108">
        <f t="shared" si="0"/>
        <v>39</v>
      </c>
    </row>
    <row r="56" spans="1:13">
      <c r="A56" s="87" t="str">
        <f>IF(LOOKUP(M56,PPTO!$J$8:$J$269,PPTO!A$8:A$269)=0," ",LOOKUP(M56,PPTO!$J$8:$J$269,PPTO!A$8:A$269))</f>
        <v>6.01</v>
      </c>
      <c r="B56" s="91" t="str">
        <f>IF(LOOKUP(M56,PPTO!$J$8:J$269,PPTO!B$8:B$269)=0," ",LOOKUP(M56,PPTO!$J$8:J$269,PPTO!B$8:B$269))</f>
        <v xml:space="preserve"> </v>
      </c>
      <c r="C56" s="89" t="str">
        <f>IF(LOOKUP(M56,PPTO!$J$8:$J$269,PPTO!D$8:D$269)=0," ",LOOKUP(M56,PPTO!$J$8:$J$269,PPTO!D$8:D$269))</f>
        <v>M2</v>
      </c>
      <c r="D56" s="90" t="str">
        <f>IF(LOOKUP(M56,PPTO!$J$8:$J$269,PPTO!E$8:E$269)=0," ",LOOKUP(M56,PPTO!$J$8:$J$269,PPTO!E$8:E$269))</f>
        <v xml:space="preserve"> </v>
      </c>
      <c r="E56" s="90" t="str">
        <f>IF(LOOKUP(M56,PPTO!$J$8:$J$269,PPTO!F$8:F$269)=0," ",LOOKUP(M56,PPTO!$J$8:$J$269,PPTO!F$8:F$269))</f>
        <v xml:space="preserve"> </v>
      </c>
      <c r="F56" s="90" t="str">
        <f>IF(LOOKUP(M56,PPTO!$J$8:$J$269,PPTO!H$8:H$269)=0," ",LOOKUP(M56,PPTO!$J$8:$J$269,PPTO!H$8:H$269))</f>
        <v xml:space="preserve"> </v>
      </c>
      <c r="G56" s="178">
        <v>4134</v>
      </c>
      <c r="H56" s="102" t="e">
        <f t="shared" si="1"/>
        <v>#VALUE!</v>
      </c>
      <c r="I56" s="174">
        <v>0</v>
      </c>
      <c r="J56" s="102" t="e">
        <f t="shared" si="2"/>
        <v>#VALUE!</v>
      </c>
      <c r="K56" s="102" t="e">
        <f>I56+'ACTA PARCIAL No.4'!K56</f>
        <v>#REF!</v>
      </c>
      <c r="L56" s="102" t="e">
        <f t="shared" si="3"/>
        <v>#REF!</v>
      </c>
      <c r="M56" s="108">
        <f t="shared" si="0"/>
        <v>40</v>
      </c>
    </row>
    <row r="57" spans="1:13">
      <c r="A57" s="87" t="str">
        <f>IF(LOOKUP(M57,PPTO!$J$8:$J$269,PPTO!A$8:A$269)=0," ",LOOKUP(M57,PPTO!$J$8:$J$269,PPTO!A$8:A$269))</f>
        <v>6.02</v>
      </c>
      <c r="B57" s="91" t="str">
        <f>IF(LOOKUP(M57,PPTO!$J$8:J$269,PPTO!B$8:B$269)=0," ",LOOKUP(M57,PPTO!$J$8:J$269,PPTO!B$8:B$269))</f>
        <v xml:space="preserve"> </v>
      </c>
      <c r="C57" s="89" t="str">
        <f>IF(LOOKUP(M57,PPTO!$J$8:$J$269,PPTO!D$8:D$269)=0," ",LOOKUP(M57,PPTO!$J$8:$J$269,PPTO!D$8:D$269))</f>
        <v>M3</v>
      </c>
      <c r="D57" s="90" t="str">
        <f>IF(LOOKUP(M57,PPTO!$J$8:$J$269,PPTO!E$8:E$269)=0," ",LOOKUP(M57,PPTO!$J$8:$J$269,PPTO!E$8:E$269))</f>
        <v xml:space="preserve"> </v>
      </c>
      <c r="E57" s="90" t="str">
        <f>IF(LOOKUP(M57,PPTO!$J$8:$J$269,PPTO!F$8:F$269)=0," ",LOOKUP(M57,PPTO!$J$8:$J$269,PPTO!F$8:F$269))</f>
        <v xml:space="preserve"> </v>
      </c>
      <c r="F57" s="90" t="str">
        <f>IF(LOOKUP(M57,PPTO!$J$8:$J$269,PPTO!H$8:H$269)=0," ",LOOKUP(M57,PPTO!$J$8:$J$269,PPTO!H$8:H$269))</f>
        <v xml:space="preserve"> </v>
      </c>
      <c r="G57" s="178">
        <v>1243</v>
      </c>
      <c r="H57" s="102" t="e">
        <f t="shared" si="1"/>
        <v>#VALUE!</v>
      </c>
      <c r="I57" s="174">
        <v>0</v>
      </c>
      <c r="J57" s="102" t="e">
        <f t="shared" si="2"/>
        <v>#VALUE!</v>
      </c>
      <c r="K57" s="102" t="e">
        <f>I57+'ACTA PARCIAL No.4'!K57</f>
        <v>#REF!</v>
      </c>
      <c r="L57" s="102" t="e">
        <f t="shared" si="3"/>
        <v>#REF!</v>
      </c>
      <c r="M57" s="108">
        <f t="shared" si="0"/>
        <v>41</v>
      </c>
    </row>
    <row r="58" spans="1:13">
      <c r="A58" s="87" t="str">
        <f>IF(LOOKUP(M58,PPTO!$J$8:$J$269,PPTO!A$8:A$269)=0," ",LOOKUP(M58,PPTO!$J$8:$J$269,PPTO!A$8:A$269))</f>
        <v>6.04</v>
      </c>
      <c r="B58" s="91" t="str">
        <f>IF(LOOKUP(M58,PPTO!$J$8:J$269,PPTO!B$8:B$269)=0," ",LOOKUP(M58,PPTO!$J$8:J$269,PPTO!B$8:B$269))</f>
        <v xml:space="preserve"> </v>
      </c>
      <c r="C58" s="89" t="str">
        <f>IF(LOOKUP(M58,PPTO!$J$8:$J$269,PPTO!D$8:D$269)=0," ",LOOKUP(M58,PPTO!$J$8:$J$269,PPTO!D$8:D$269))</f>
        <v>M2</v>
      </c>
      <c r="D58" s="90" t="str">
        <f>IF(LOOKUP(M58,PPTO!$J$8:$J$269,PPTO!E$8:E$269)=0," ",LOOKUP(M58,PPTO!$J$8:$J$269,PPTO!E$8:E$269))</f>
        <v xml:space="preserve"> </v>
      </c>
      <c r="E58" s="90" t="str">
        <f>IF(LOOKUP(M58,PPTO!$J$8:$J$269,PPTO!F$8:F$269)=0," ",LOOKUP(M58,PPTO!$J$8:$J$269,PPTO!F$8:F$269))</f>
        <v xml:space="preserve"> </v>
      </c>
      <c r="F58" s="90" t="str">
        <f>IF(LOOKUP(M58,PPTO!$J$8:$J$269,PPTO!H$8:H$269)=0," ",LOOKUP(M58,PPTO!$J$8:$J$269,PPTO!H$8:H$269))</f>
        <v xml:space="preserve"> </v>
      </c>
      <c r="G58" s="178">
        <v>1259</v>
      </c>
      <c r="H58" s="102" t="e">
        <f t="shared" si="1"/>
        <v>#VALUE!</v>
      </c>
      <c r="I58" s="174">
        <v>0</v>
      </c>
      <c r="J58" s="102" t="e">
        <f t="shared" si="2"/>
        <v>#VALUE!</v>
      </c>
      <c r="K58" s="102" t="e">
        <f>I58+'ACTA PARCIAL No.4'!K58</f>
        <v>#REF!</v>
      </c>
      <c r="L58" s="102" t="e">
        <f t="shared" si="3"/>
        <v>#REF!</v>
      </c>
      <c r="M58" s="108">
        <f t="shared" si="0"/>
        <v>42</v>
      </c>
    </row>
    <row r="59" spans="1:13">
      <c r="A59" s="87" t="str">
        <f>IF(LOOKUP(M59,PPTO!$J$8:$J$269,PPTO!A$8:A$269)=0," ",LOOKUP(M59,PPTO!$J$8:$J$269,PPTO!A$8:A$269))</f>
        <v>6.05</v>
      </c>
      <c r="B59" s="91" t="str">
        <f>IF(LOOKUP(M59,PPTO!$J$8:J$269,PPTO!B$8:B$269)=0," ",LOOKUP(M59,PPTO!$J$8:J$269,PPTO!B$8:B$269))</f>
        <v xml:space="preserve"> </v>
      </c>
      <c r="C59" s="89" t="str">
        <f>IF(LOOKUP(M59,PPTO!$J$8:$J$269,PPTO!D$8:D$269)=0," ",LOOKUP(M59,PPTO!$J$8:$J$269,PPTO!D$8:D$269))</f>
        <v>ML</v>
      </c>
      <c r="D59" s="90" t="str">
        <f>IF(LOOKUP(M59,PPTO!$J$8:$J$269,PPTO!E$8:E$269)=0," ",LOOKUP(M59,PPTO!$J$8:$J$269,PPTO!E$8:E$269))</f>
        <v xml:space="preserve"> </v>
      </c>
      <c r="E59" s="90" t="str">
        <f>IF(LOOKUP(M59,PPTO!$J$8:$J$269,PPTO!F$8:F$269)=0," ",LOOKUP(M59,PPTO!$J$8:$J$269,PPTO!F$8:F$269))</f>
        <v xml:space="preserve"> </v>
      </c>
      <c r="F59" s="90" t="str">
        <f>IF(LOOKUP(M59,PPTO!$J$8:$J$269,PPTO!H$8:H$269)=0," ",LOOKUP(M59,PPTO!$J$8:$J$269,PPTO!H$8:H$269))</f>
        <v xml:space="preserve"> </v>
      </c>
      <c r="G59" s="178">
        <v>1259</v>
      </c>
      <c r="H59" s="102" t="e">
        <f t="shared" si="1"/>
        <v>#VALUE!</v>
      </c>
      <c r="I59" s="174">
        <v>0</v>
      </c>
      <c r="J59" s="102" t="e">
        <f t="shared" si="2"/>
        <v>#VALUE!</v>
      </c>
      <c r="K59" s="102" t="e">
        <f>I59+'ACTA PARCIAL No.4'!K59</f>
        <v>#REF!</v>
      </c>
      <c r="L59" s="102" t="e">
        <f t="shared" si="3"/>
        <v>#REF!</v>
      </c>
      <c r="M59" s="108">
        <f t="shared" si="0"/>
        <v>43</v>
      </c>
    </row>
    <row r="60" spans="1:13">
      <c r="A60" s="87" t="str">
        <f>IF(LOOKUP(M60,PPTO!$J$8:$J$269,PPTO!A$8:A$269)=0," ",LOOKUP(M60,PPTO!$J$8:$J$269,PPTO!A$8:A$269))</f>
        <v>6.06</v>
      </c>
      <c r="B60" s="91" t="str">
        <f>IF(LOOKUP(M60,PPTO!$J$8:J$269,PPTO!B$8:B$269)=0," ",LOOKUP(M60,PPTO!$J$8:J$269,PPTO!B$8:B$269))</f>
        <v xml:space="preserve"> </v>
      </c>
      <c r="C60" s="89" t="str">
        <f>IF(LOOKUP(M60,PPTO!$J$8:$J$269,PPTO!D$8:D$269)=0," ",LOOKUP(M60,PPTO!$J$8:$J$269,PPTO!D$8:D$269))</f>
        <v>M2</v>
      </c>
      <c r="D60" s="90" t="str">
        <f>IF(LOOKUP(M60,PPTO!$J$8:$J$269,PPTO!E$8:E$269)=0," ",LOOKUP(M60,PPTO!$J$8:$J$269,PPTO!E$8:E$269))</f>
        <v xml:space="preserve"> </v>
      </c>
      <c r="E60" s="90" t="str">
        <f>IF(LOOKUP(M60,PPTO!$J$8:$J$269,PPTO!F$8:F$269)=0," ",LOOKUP(M60,PPTO!$J$8:$J$269,PPTO!F$8:F$269))</f>
        <v xml:space="preserve"> </v>
      </c>
      <c r="F60" s="90" t="str">
        <f>IF(LOOKUP(M60,PPTO!$J$8:$J$269,PPTO!H$8:H$269)=0," ",LOOKUP(M60,PPTO!$J$8:$J$269,PPTO!H$8:H$269))</f>
        <v xml:space="preserve"> </v>
      </c>
      <c r="G60" s="178">
        <v>140</v>
      </c>
      <c r="H60" s="102" t="e">
        <f t="shared" si="1"/>
        <v>#VALUE!</v>
      </c>
      <c r="I60" s="174">
        <v>0</v>
      </c>
      <c r="J60" s="102" t="e">
        <f t="shared" si="2"/>
        <v>#VALUE!</v>
      </c>
      <c r="K60" s="102" t="e">
        <f>I60+'ACTA PARCIAL No.4'!K60</f>
        <v>#REF!</v>
      </c>
      <c r="L60" s="102" t="e">
        <f t="shared" si="3"/>
        <v>#REF!</v>
      </c>
      <c r="M60" s="108">
        <f t="shared" si="0"/>
        <v>44</v>
      </c>
    </row>
    <row r="61" spans="1:13">
      <c r="A61" s="87"/>
      <c r="B61" s="154"/>
      <c r="C61" s="155"/>
      <c r="D61" s="156"/>
      <c r="E61" s="156"/>
      <c r="F61" s="176"/>
      <c r="G61" s="179"/>
      <c r="H61" s="177"/>
      <c r="I61" s="174"/>
      <c r="J61" s="102"/>
      <c r="K61" s="102"/>
      <c r="L61" s="102"/>
      <c r="M61" s="108"/>
    </row>
    <row r="62" spans="1:13">
      <c r="A62" s="87"/>
      <c r="B62" s="275" t="s">
        <v>348</v>
      </c>
      <c r="C62" s="276"/>
      <c r="D62" s="277"/>
      <c r="E62" s="277"/>
      <c r="F62" s="277">
        <v>0</v>
      </c>
      <c r="G62" s="278"/>
      <c r="H62" s="278">
        <v>0</v>
      </c>
      <c r="I62" s="279"/>
      <c r="J62" s="279">
        <v>0</v>
      </c>
      <c r="K62" s="279"/>
      <c r="L62" s="279">
        <v>0</v>
      </c>
      <c r="M62" s="108"/>
    </row>
    <row r="63" spans="1:13" ht="12.75" thickBot="1">
      <c r="A63" s="87"/>
      <c r="B63" s="154"/>
      <c r="C63" s="155"/>
      <c r="D63" s="156"/>
      <c r="E63" s="156"/>
      <c r="F63" s="156"/>
      <c r="G63" s="161"/>
      <c r="H63" s="161"/>
      <c r="I63" s="102"/>
      <c r="J63" s="102"/>
      <c r="K63" s="102"/>
      <c r="L63" s="102"/>
      <c r="M63" s="108"/>
    </row>
    <row r="64" spans="1:13" ht="12.75" thickBot="1">
      <c r="A64" s="87"/>
      <c r="B64" s="280" t="s">
        <v>323</v>
      </c>
      <c r="C64" s="281"/>
      <c r="D64" s="282"/>
      <c r="E64" s="282"/>
      <c r="F64" s="283">
        <f>SUM(F19:F63)</f>
        <v>0</v>
      </c>
      <c r="G64" s="284"/>
      <c r="H64" s="283" t="e">
        <f>SUM(H19:H63)</f>
        <v>#VALUE!</v>
      </c>
      <c r="I64" s="284"/>
      <c r="J64" s="283" t="e">
        <f>SUM(J19:J63)</f>
        <v>#VALUE!</v>
      </c>
      <c r="K64" s="284"/>
      <c r="L64" s="283" t="e">
        <f>SUM(L19:L63)</f>
        <v>#REF!</v>
      </c>
      <c r="M64" s="108"/>
    </row>
    <row r="65" spans="1:13">
      <c r="A65" s="87"/>
      <c r="B65" s="285" t="s">
        <v>174</v>
      </c>
      <c r="C65" s="286" t="s">
        <v>296</v>
      </c>
      <c r="D65" s="287">
        <f>DATOS!E184</f>
        <v>18.5</v>
      </c>
      <c r="E65" s="288"/>
      <c r="F65" s="288">
        <f>ROUND(F$64*$D$65/100,0)</f>
        <v>0</v>
      </c>
      <c r="G65" s="289"/>
      <c r="H65" s="288" t="e">
        <f>ROUND(H$64*$D$65/100,0)</f>
        <v>#VALUE!</v>
      </c>
      <c r="I65" s="289"/>
      <c r="J65" s="288" t="e">
        <f>ROUND(J$64*$D$65/100,0)</f>
        <v>#VALUE!</v>
      </c>
      <c r="K65" s="289"/>
      <c r="L65" s="288" t="e">
        <f>ROUND(L$64*$D$65/100,0)</f>
        <v>#REF!</v>
      </c>
      <c r="M65" s="108"/>
    </row>
    <row r="66" spans="1:13">
      <c r="A66" s="87"/>
      <c r="B66" s="290" t="s">
        <v>166</v>
      </c>
      <c r="C66" s="291" t="s">
        <v>296</v>
      </c>
      <c r="D66" s="292">
        <f>DATOS!E186</f>
        <v>5</v>
      </c>
      <c r="E66" s="293"/>
      <c r="F66" s="288">
        <f>ROUND(F$64*$D$66/100,0)</f>
        <v>0</v>
      </c>
      <c r="G66" s="279"/>
      <c r="H66" s="288" t="e">
        <f>ROUND(H$64*$D$66/100,0)</f>
        <v>#VALUE!</v>
      </c>
      <c r="I66" s="279"/>
      <c r="J66" s="288" t="e">
        <f>ROUND(J$64*$D$66/100,0)</f>
        <v>#VALUE!</v>
      </c>
      <c r="K66" s="279"/>
      <c r="L66" s="288" t="e">
        <f>ROUND(L$64*$D$66/100,0)</f>
        <v>#REF!</v>
      </c>
      <c r="M66" s="108"/>
    </row>
    <row r="67" spans="1:13" ht="12.75" thickBot="1">
      <c r="A67" s="87"/>
      <c r="B67" s="294" t="s">
        <v>167</v>
      </c>
      <c r="C67" s="295" t="s">
        <v>296</v>
      </c>
      <c r="D67" s="292">
        <f>DATOS!E188</f>
        <v>8</v>
      </c>
      <c r="E67" s="293"/>
      <c r="F67" s="288">
        <f>ROUND(F$64*$D$67/100,0)</f>
        <v>0</v>
      </c>
      <c r="G67" s="279"/>
      <c r="H67" s="288" t="e">
        <f>ROUND(H$64*$D$67/100,0)</f>
        <v>#VALUE!</v>
      </c>
      <c r="I67" s="279"/>
      <c r="J67" s="288" t="e">
        <f>ROUND(J$64*$D$67/100,0)</f>
        <v>#VALUE!</v>
      </c>
      <c r="K67" s="279"/>
      <c r="L67" s="288" t="e">
        <f>ROUND(L$64*$D$67/100,0)</f>
        <v>#REF!</v>
      </c>
      <c r="M67" s="108"/>
    </row>
    <row r="68" spans="1:13" ht="12.75" thickBot="1">
      <c r="A68" s="87"/>
      <c r="B68" s="280" t="s">
        <v>324</v>
      </c>
      <c r="C68" s="281"/>
      <c r="D68" s="282"/>
      <c r="E68" s="282"/>
      <c r="F68" s="283">
        <f>SUM(F65:F67)</f>
        <v>0</v>
      </c>
      <c r="G68" s="284"/>
      <c r="H68" s="283" t="e">
        <f>SUM(H65:H67)</f>
        <v>#VALUE!</v>
      </c>
      <c r="I68" s="284"/>
      <c r="J68" s="283" t="e">
        <f>SUM(J65:J67)</f>
        <v>#VALUE!</v>
      </c>
      <c r="K68" s="284"/>
      <c r="L68" s="283" t="e">
        <f>SUM(L65:L67)</f>
        <v>#REF!</v>
      </c>
      <c r="M68" s="108"/>
    </row>
    <row r="69" spans="1:13" ht="19.149999999999999" customHeight="1" thickBot="1">
      <c r="A69" s="87"/>
      <c r="B69" s="1150"/>
      <c r="C69" s="1150"/>
      <c r="D69" s="293"/>
      <c r="E69" s="293"/>
      <c r="F69" s="293"/>
      <c r="G69" s="279"/>
      <c r="H69" s="293"/>
      <c r="I69" s="279"/>
      <c r="J69" s="293"/>
      <c r="K69" s="279"/>
      <c r="L69" s="293"/>
      <c r="M69" s="108"/>
    </row>
    <row r="70" spans="1:13" ht="12.75" thickBot="1">
      <c r="A70" s="87"/>
      <c r="B70" s="280" t="s">
        <v>325</v>
      </c>
      <c r="C70" s="281"/>
      <c r="D70" s="282"/>
      <c r="E70" s="282"/>
      <c r="F70" s="283">
        <f>F64+F68</f>
        <v>0</v>
      </c>
      <c r="G70" s="284"/>
      <c r="H70" s="283" t="e">
        <f>H64+H68</f>
        <v>#VALUE!</v>
      </c>
      <c r="I70" s="284"/>
      <c r="J70" s="283" t="e">
        <f>J64+J68</f>
        <v>#VALUE!</v>
      </c>
      <c r="K70" s="284"/>
      <c r="L70" s="283" t="e">
        <f>L64+L68</f>
        <v>#REF!</v>
      </c>
      <c r="M70" s="108"/>
    </row>
    <row r="71" spans="1:13">
      <c r="A71" s="87" t="str">
        <f>IF(LOOKUP(M71,PPTO!$J$8:$J$269,PPTO!A$8:A$269)=0," ",LOOKUP(M71,PPTO!$J$8:$J$269,PPTO!A$8:A$269))</f>
        <v xml:space="preserve"> </v>
      </c>
      <c r="B71" s="88" t="str">
        <f>IF(LOOKUP(M71,PPTO!$J$8:J$269,PPTO!B$8:B$269)=0," ",LOOKUP(M71,PPTO!$J$8:J$269,PPTO!B$8:B$269))</f>
        <v xml:space="preserve"> </v>
      </c>
      <c r="C71" s="89" t="str">
        <f>IF(LOOKUP(M71,PPTO!$J$8:$J$269,PPTO!D$8:D$269)=0," ",LOOKUP(M71,PPTO!$J$8:$J$269,PPTO!D$8:D$269))</f>
        <v xml:space="preserve"> </v>
      </c>
      <c r="D71" s="90" t="str">
        <f>IF(LOOKUP(M71,PPTO!$J$8:$J$269,PPTO!E$8:E$269)=0," ",LOOKUP(M71,PPTO!$J$8:$J$269,PPTO!E$8:E$269))</f>
        <v xml:space="preserve"> </v>
      </c>
      <c r="E71" s="90" t="str">
        <f>IF(LOOKUP(M71,PPTO!$J$8:$J$269,PPTO!F$8:F$269)=0," ",LOOKUP(M71,PPTO!$J$8:$J$269,PPTO!F$8:F$269))</f>
        <v xml:space="preserve"> </v>
      </c>
      <c r="F71" s="97" t="str">
        <f>IF(LOOKUP(M71,PPTO!$J$8:$J$269,PPTO!H$8:H$269)=0," ",LOOKUP(M71,PPTO!$J$8:$J$269,PPTO!H$8:H$269))</f>
        <v xml:space="preserve"> </v>
      </c>
      <c r="G71" s="102"/>
      <c r="H71" s="102"/>
      <c r="I71" s="102"/>
      <c r="J71" s="102"/>
      <c r="K71" s="102"/>
      <c r="L71" s="102"/>
      <c r="M71" s="108">
        <v>45</v>
      </c>
    </row>
    <row r="72" spans="1:13">
      <c r="A72" s="92">
        <f>IF(LOOKUP(M72,PPTO!$J$8:$J$269,PPTO!A$8:A$269)=0," ",LOOKUP(M72,PPTO!$J$8:$J$269,PPTO!A$8:A$269))</f>
        <v>7</v>
      </c>
      <c r="B72" s="88" t="str">
        <f>IF(LOOKUP(M72,PPTO!$J$8:J$269,PPTO!B$8:B$269)=0," ",LOOKUP(M72,PPTO!$J$8:J$269,PPTO!B$8:B$269))</f>
        <v>SUMINISTRO DE TUBERIA</v>
      </c>
      <c r="C72" s="145" t="str">
        <f>IF(LOOKUP(M72,PPTO!$J$8:$J$269,PPTO!D$8:D$269)=0," ",LOOKUP(M72,PPTO!$J$8:$J$269,PPTO!D$8:D$269))</f>
        <v xml:space="preserve"> </v>
      </c>
      <c r="D72" s="144" t="str">
        <f>IF(LOOKUP(M72,PPTO!$J$8:$J$269,PPTO!E$8:E$269)=0," ",LOOKUP(M72,PPTO!$J$8:$J$269,PPTO!E$8:E$269))</f>
        <v xml:space="preserve"> </v>
      </c>
      <c r="E72" s="90" t="str">
        <f>IF(LOOKUP(M72,PPTO!$J$8:$J$269,PPTO!F$8:F$269)=0," ",LOOKUP(M72,PPTO!$J$8:$J$269,PPTO!F$8:F$269))</f>
        <v xml:space="preserve"> </v>
      </c>
      <c r="F72" s="90" t="str">
        <f>IF(LOOKUP(M72,PPTO!$J$8:$J$269,PPTO!H$8:H$269)=0," ",LOOKUP(M72,PPTO!$J$8:$J$269,PPTO!H$8:H$269))</f>
        <v xml:space="preserve"> </v>
      </c>
      <c r="G72" s="178"/>
      <c r="H72" s="102"/>
      <c r="I72" s="174"/>
      <c r="J72" s="102"/>
      <c r="K72" s="102"/>
      <c r="L72" s="102"/>
      <c r="M72" s="108">
        <f t="shared" ref="M72:M77" si="4">M71+1</f>
        <v>46</v>
      </c>
    </row>
    <row r="73" spans="1:13" ht="24">
      <c r="A73" s="87" t="str">
        <f>IF(LOOKUP(M73,PPTO!$J$8:$J$269,PPTO!A$8:A$269)=0," ",LOOKUP(M73,PPTO!$J$8:$J$269,PPTO!A$8:A$269))</f>
        <v>7.01</v>
      </c>
      <c r="B73" s="91" t="str">
        <f>IF(LOOKUP(M73,PPTO!$J$8:J$269,PPTO!B$8:B$269)=0," ",LOOKUP(M73,PPTO!$J$8:J$269,PPTO!B$8:B$269))</f>
        <v>SUM DE TUBERIA PVC UNION MECANICA PARA ALCANTARILLADOS 6", 160 MM</v>
      </c>
      <c r="C73" s="145" t="str">
        <f>IF(LOOKUP(M73,PPTO!$J$8:$J$269,PPTO!D$8:D$269)=0," ",LOOKUP(M73,PPTO!$J$8:$J$269,PPTO!D$8:D$269))</f>
        <v>ML</v>
      </c>
      <c r="D73" s="90" t="str">
        <f>IF(LOOKUP(M73,PPTO!$J$8:$J$269,PPTO!E$8:E$269)=0," ",LOOKUP(M73,PPTO!$J$8:$J$269,PPTO!E$8:E$269))</f>
        <v xml:space="preserve"> </v>
      </c>
      <c r="E73" s="90" t="str">
        <f>IF(LOOKUP(M73,PPTO!$J$8:$J$269,PPTO!F$8:F$269)=0," ",LOOKUP(M73,PPTO!$J$8:$J$269,PPTO!F$8:F$269))</f>
        <v xml:space="preserve"> </v>
      </c>
      <c r="F73" s="90" t="str">
        <f>IF(LOOKUP(M73,PPTO!$J$8:$J$269,PPTO!H$8:H$269)=0," ",LOOKUP(M73,PPTO!$J$8:$J$269,PPTO!H$8:H$269))</f>
        <v xml:space="preserve"> </v>
      </c>
      <c r="G73" s="178">
        <v>7554</v>
      </c>
      <c r="H73" s="102" t="e">
        <f t="shared" ref="H73:H77" si="5">ROUND(G73*E73,0)</f>
        <v>#VALUE!</v>
      </c>
      <c r="I73" s="174">
        <v>0</v>
      </c>
      <c r="J73" s="102" t="e">
        <f t="shared" ref="J73:J77" si="6">ROUND(I73*E73,0)</f>
        <v>#VALUE!</v>
      </c>
      <c r="K73" s="102" t="e">
        <f>I73+'ACTA PARCIAL No.4'!K73</f>
        <v>#REF!</v>
      </c>
      <c r="L73" s="102" t="e">
        <f t="shared" ref="L73:L77" si="7">ROUND(K73*E73,0)</f>
        <v>#REF!</v>
      </c>
      <c r="M73" s="108">
        <f t="shared" si="4"/>
        <v>47</v>
      </c>
    </row>
    <row r="74" spans="1:13">
      <c r="A74" s="87" t="str">
        <f>IF(LOOKUP(M74,PPTO!$J$8:$J$269,PPTO!A$8:A$269)=0," ",LOOKUP(M74,PPTO!$J$8:$J$269,PPTO!A$8:A$269))</f>
        <v>7.02</v>
      </c>
      <c r="B74" s="91" t="str">
        <f>IF(LOOKUP(M74,PPTO!$J$8:J$269,PPTO!B$8:B$269)=0," ",LOOKUP(M74,PPTO!$J$8:J$269,PPTO!B$8:B$269))</f>
        <v>SUM TUB PVC 8" ALC</v>
      </c>
      <c r="C74" s="145" t="str">
        <f>IF(LOOKUP(M74,PPTO!$J$8:$J$269,PPTO!D$8:D$269)=0," ",LOOKUP(M74,PPTO!$J$8:$J$269,PPTO!D$8:D$269))</f>
        <v>ML</v>
      </c>
      <c r="D74" s="90" t="str">
        <f>IF(LOOKUP(M74,PPTO!$J$8:$J$269,PPTO!E$8:E$269)=0," ",LOOKUP(M74,PPTO!$J$8:$J$269,PPTO!E$8:E$269))</f>
        <v xml:space="preserve"> </v>
      </c>
      <c r="E74" s="90" t="str">
        <f>IF(LOOKUP(M74,PPTO!$J$8:$J$269,PPTO!F$8:F$269)=0," ",LOOKUP(M74,PPTO!$J$8:$J$269,PPTO!F$8:F$269))</f>
        <v xml:space="preserve"> </v>
      </c>
      <c r="F74" s="90" t="str">
        <f>IF(LOOKUP(M74,PPTO!$J$8:$J$269,PPTO!H$8:H$269)=0," ",LOOKUP(M74,PPTO!$J$8:$J$269,PPTO!H$8:H$269))</f>
        <v xml:space="preserve"> </v>
      </c>
      <c r="G74" s="178">
        <v>10629.07</v>
      </c>
      <c r="H74" s="102" t="e">
        <f t="shared" si="5"/>
        <v>#VALUE!</v>
      </c>
      <c r="I74" s="174">
        <v>0</v>
      </c>
      <c r="J74" s="102" t="e">
        <f t="shared" si="6"/>
        <v>#VALUE!</v>
      </c>
      <c r="K74" s="102" t="e">
        <f>I74+'ACTA PARCIAL No.4'!K74</f>
        <v>#REF!</v>
      </c>
      <c r="L74" s="102" t="e">
        <f t="shared" si="7"/>
        <v>#REF!</v>
      </c>
      <c r="M74" s="108">
        <f t="shared" si="4"/>
        <v>48</v>
      </c>
    </row>
    <row r="75" spans="1:13">
      <c r="A75" s="87" t="str">
        <f>IF(LOOKUP(M75,PPTO!$J$8:$J$269,PPTO!A$8:A$269)=0," ",LOOKUP(M75,PPTO!$J$8:$J$269,PPTO!A$8:A$269))</f>
        <v>7.03</v>
      </c>
      <c r="B75" s="91" t="str">
        <f>IF(LOOKUP(M75,PPTO!$J$8:J$269,PPTO!B$8:B$269)=0," ",LOOKUP(M75,PPTO!$J$8:J$269,PPTO!B$8:B$269))</f>
        <v>SUM TUB PVC 10" ALC</v>
      </c>
      <c r="C75" s="89" t="str">
        <f>IF(LOOKUP(M75,PPTO!$J$8:$J$269,PPTO!D$8:D$269)=0," ",LOOKUP(M75,PPTO!$J$8:$J$269,PPTO!D$8:D$269))</f>
        <v>ML</v>
      </c>
      <c r="D75" s="90" t="str">
        <f>IF(LOOKUP(M75,PPTO!$J$8:$J$269,PPTO!E$8:E$269)=0," ",LOOKUP(M75,PPTO!$J$8:$J$269,PPTO!E$8:E$269))</f>
        <v xml:space="preserve"> </v>
      </c>
      <c r="E75" s="90" t="str">
        <f>IF(LOOKUP(M75,PPTO!$J$8:$J$269,PPTO!F$8:F$269)=0," ",LOOKUP(M75,PPTO!$J$8:$J$269,PPTO!F$8:F$269))</f>
        <v xml:space="preserve"> </v>
      </c>
      <c r="F75" s="90" t="str">
        <f>IF(LOOKUP(M75,PPTO!$J$8:$J$269,PPTO!H$8:H$269)=0," ",LOOKUP(M75,PPTO!$J$8:$J$269,PPTO!H$8:H$269))</f>
        <v xml:space="preserve"> </v>
      </c>
      <c r="G75" s="178">
        <v>119.02</v>
      </c>
      <c r="H75" s="102" t="e">
        <f t="shared" si="5"/>
        <v>#VALUE!</v>
      </c>
      <c r="I75" s="174">
        <v>0</v>
      </c>
      <c r="J75" s="102" t="e">
        <f t="shared" si="6"/>
        <v>#VALUE!</v>
      </c>
      <c r="K75" s="102" t="e">
        <f>I75+'ACTA PARCIAL No.4'!K75</f>
        <v>#REF!</v>
      </c>
      <c r="L75" s="102" t="e">
        <f t="shared" si="7"/>
        <v>#REF!</v>
      </c>
      <c r="M75" s="108">
        <f t="shared" si="4"/>
        <v>49</v>
      </c>
    </row>
    <row r="76" spans="1:13">
      <c r="A76" s="87" t="str">
        <f>IF(LOOKUP(M76,PPTO!$J$8:$J$269,PPTO!A$8:A$269)=0," ",LOOKUP(M76,PPTO!$J$8:$J$269,PPTO!A$8:A$269))</f>
        <v>7.04</v>
      </c>
      <c r="B76" s="91" t="str">
        <f>IF(LOOKUP(M76,PPTO!$J$8:J$269,PPTO!B$8:B$269)=0," ",LOOKUP(M76,PPTO!$J$8:J$269,PPTO!B$8:B$269))</f>
        <v>SUM TUB PVC 12" ALC</v>
      </c>
      <c r="C76" s="89" t="str">
        <f>IF(LOOKUP(M76,PPTO!$J$8:$J$269,PPTO!D$8:D$269)=0," ",LOOKUP(M76,PPTO!$J$8:$J$269,PPTO!D$8:D$269))</f>
        <v>ML</v>
      </c>
      <c r="D76" s="90" t="str">
        <f>IF(LOOKUP(M76,PPTO!$J$8:$J$269,PPTO!E$8:E$269)=0," ",LOOKUP(M76,PPTO!$J$8:$J$269,PPTO!E$8:E$269))</f>
        <v xml:space="preserve"> </v>
      </c>
      <c r="E76" s="90" t="str">
        <f>IF(LOOKUP(M76,PPTO!$J$8:$J$269,PPTO!F$8:F$269)=0," ",LOOKUP(M76,PPTO!$J$8:$J$269,PPTO!F$8:F$269))</f>
        <v xml:space="preserve"> </v>
      </c>
      <c r="F76" s="90" t="str">
        <f>IF(LOOKUP(M76,PPTO!$J$8:$J$269,PPTO!H$8:H$269)=0," ",LOOKUP(M76,PPTO!$J$8:$J$269,PPTO!H$8:H$269))</f>
        <v xml:space="preserve"> </v>
      </c>
      <c r="G76" s="178">
        <v>293.73</v>
      </c>
      <c r="H76" s="102" t="e">
        <f t="shared" si="5"/>
        <v>#VALUE!</v>
      </c>
      <c r="I76" s="174">
        <v>0</v>
      </c>
      <c r="J76" s="102" t="e">
        <f t="shared" si="6"/>
        <v>#VALUE!</v>
      </c>
      <c r="K76" s="102" t="e">
        <f>I76+'ACTA PARCIAL No.4'!K76</f>
        <v>#REF!</v>
      </c>
      <c r="L76" s="102" t="e">
        <f t="shared" si="7"/>
        <v>#REF!</v>
      </c>
      <c r="M76" s="108">
        <f t="shared" si="4"/>
        <v>50</v>
      </c>
    </row>
    <row r="77" spans="1:13">
      <c r="A77" s="87" t="str">
        <f>IF(LOOKUP(M77,PPTO!$J$8:$J$269,PPTO!A$8:A$269)=0," ",LOOKUP(M77,PPTO!$J$8:$J$269,PPTO!A$8:A$269))</f>
        <v>7.05</v>
      </c>
      <c r="B77" s="91" t="str">
        <f>IF(LOOKUP(M77,PPTO!$J$8:J$269,PPTO!B$8:B$269)=0," ",LOOKUP(M77,PPTO!$J$8:J$269,PPTO!B$8:B$269))</f>
        <v>SUMINISTRO TUB PVC NOVAFORT 14 "</v>
      </c>
      <c r="C77" s="89" t="str">
        <f>IF(LOOKUP(M77,PPTO!$J$8:$J$269,PPTO!D$8:D$269)=0," ",LOOKUP(M77,PPTO!$J$8:$J$269,PPTO!D$8:D$269))</f>
        <v>ML</v>
      </c>
      <c r="D77" s="90" t="str">
        <f>IF(LOOKUP(M77,PPTO!$J$8:$J$269,PPTO!E$8:E$269)=0," ",LOOKUP(M77,PPTO!$J$8:$J$269,PPTO!E$8:E$269))</f>
        <v xml:space="preserve"> </v>
      </c>
      <c r="E77" s="90" t="str">
        <f>IF(LOOKUP(M77,PPTO!$J$8:$J$269,PPTO!F$8:F$269)=0," ",LOOKUP(M77,PPTO!$J$8:$J$269,PPTO!F$8:F$269))</f>
        <v xml:space="preserve"> </v>
      </c>
      <c r="F77" s="90" t="str">
        <f>IF(LOOKUP(M77,PPTO!$J$8:$J$269,PPTO!H$8:H$269)=0," ",LOOKUP(M77,PPTO!$J$8:$J$269,PPTO!H$8:H$269))</f>
        <v xml:space="preserve"> </v>
      </c>
      <c r="G77" s="178">
        <v>915</v>
      </c>
      <c r="H77" s="102" t="e">
        <f t="shared" si="5"/>
        <v>#VALUE!</v>
      </c>
      <c r="I77" s="174">
        <v>0</v>
      </c>
      <c r="J77" s="102" t="e">
        <f t="shared" si="6"/>
        <v>#VALUE!</v>
      </c>
      <c r="K77" s="102" t="e">
        <f>I77+'ACTA PARCIAL No.4'!K77</f>
        <v>#REF!</v>
      </c>
      <c r="L77" s="102" t="e">
        <f t="shared" si="7"/>
        <v>#REF!</v>
      </c>
      <c r="M77" s="108">
        <f t="shared" si="4"/>
        <v>51</v>
      </c>
    </row>
    <row r="78" spans="1:13">
      <c r="A78" s="87"/>
      <c r="B78" s="88"/>
      <c r="C78" s="89"/>
      <c r="D78" s="90"/>
      <c r="E78" s="90"/>
      <c r="F78" s="97"/>
      <c r="G78" s="179"/>
      <c r="H78" s="177"/>
      <c r="I78" s="174"/>
      <c r="J78" s="148"/>
      <c r="K78" s="102"/>
      <c r="L78" s="148"/>
      <c r="M78" s="108"/>
    </row>
    <row r="79" spans="1:13">
      <c r="A79" s="87"/>
      <c r="B79" s="275" t="s">
        <v>348</v>
      </c>
      <c r="C79" s="276"/>
      <c r="D79" s="277"/>
      <c r="E79" s="277"/>
      <c r="F79" s="277">
        <v>0</v>
      </c>
      <c r="G79" s="278"/>
      <c r="H79" s="278">
        <v>0</v>
      </c>
      <c r="I79" s="279"/>
      <c r="J79" s="279">
        <v>0</v>
      </c>
      <c r="K79" s="279"/>
      <c r="L79" s="279">
        <v>0</v>
      </c>
      <c r="M79" s="108"/>
    </row>
    <row r="80" spans="1:13" ht="12.75" thickBot="1">
      <c r="A80" s="87"/>
      <c r="B80" s="91"/>
      <c r="C80" s="89"/>
      <c r="D80" s="90"/>
      <c r="E80" s="90"/>
      <c r="F80" s="90"/>
      <c r="G80" s="161"/>
      <c r="H80" s="161"/>
      <c r="I80" s="102"/>
      <c r="J80" s="102"/>
      <c r="K80" s="102"/>
      <c r="L80" s="102"/>
      <c r="M80" s="108"/>
    </row>
    <row r="81" spans="1:13" ht="12.75" thickBot="1">
      <c r="A81" s="92"/>
      <c r="B81" s="280" t="s">
        <v>326</v>
      </c>
      <c r="C81" s="281"/>
      <c r="D81" s="282"/>
      <c r="E81" s="282"/>
      <c r="F81" s="283">
        <f>SUM(F73:F80)</f>
        <v>0</v>
      </c>
      <c r="G81" s="284"/>
      <c r="H81" s="283" t="e">
        <f>SUM(H73:H80)</f>
        <v>#VALUE!</v>
      </c>
      <c r="I81" s="284"/>
      <c r="J81" s="283" t="e">
        <f>SUM(J73:J80)</f>
        <v>#VALUE!</v>
      </c>
      <c r="K81" s="284"/>
      <c r="L81" s="283" t="e">
        <f>SUM(L73:L80)</f>
        <v>#REF!</v>
      </c>
      <c r="M81" s="108"/>
    </row>
    <row r="82" spans="1:13" ht="12.75" thickBot="1">
      <c r="A82" s="87"/>
      <c r="B82" s="285" t="s">
        <v>174</v>
      </c>
      <c r="C82" s="286" t="s">
        <v>296</v>
      </c>
      <c r="D82" s="287">
        <f>DATOS!E192</f>
        <v>18.5</v>
      </c>
      <c r="E82" s="288"/>
      <c r="F82" s="288">
        <f>ROUND(F$81*$D$82/100,0)</f>
        <v>0</v>
      </c>
      <c r="G82" s="289"/>
      <c r="H82" s="288" t="e">
        <f>ROUND(H$81*$D$82/100,0)</f>
        <v>#VALUE!</v>
      </c>
      <c r="I82" s="289"/>
      <c r="J82" s="288" t="e">
        <f>ROUND(J$81*$D$82/100,0)</f>
        <v>#VALUE!</v>
      </c>
      <c r="K82" s="289"/>
      <c r="L82" s="288" t="e">
        <f>ROUND(L$81*$D$82/100,0)</f>
        <v>#REF!</v>
      </c>
      <c r="M82" s="108"/>
    </row>
    <row r="83" spans="1:13" ht="12.75" thickBot="1">
      <c r="A83" s="87"/>
      <c r="B83" s="280" t="s">
        <v>327</v>
      </c>
      <c r="C83" s="281"/>
      <c r="D83" s="282"/>
      <c r="E83" s="282"/>
      <c r="F83" s="283">
        <f>F82</f>
        <v>0</v>
      </c>
      <c r="G83" s="284"/>
      <c r="H83" s="283" t="e">
        <f>H82</f>
        <v>#VALUE!</v>
      </c>
      <c r="I83" s="284"/>
      <c r="J83" s="283" t="e">
        <f>J82</f>
        <v>#VALUE!</v>
      </c>
      <c r="K83" s="284"/>
      <c r="L83" s="283" t="e">
        <f>L82</f>
        <v>#REF!</v>
      </c>
      <c r="M83" s="108"/>
    </row>
    <row r="84" spans="1:13" ht="12.75" thickBot="1">
      <c r="A84" s="87"/>
      <c r="B84" s="1150"/>
      <c r="C84" s="1150"/>
      <c r="D84" s="293"/>
      <c r="E84" s="293"/>
      <c r="F84" s="293"/>
      <c r="G84" s="279"/>
      <c r="H84" s="293"/>
      <c r="I84" s="279"/>
      <c r="J84" s="293"/>
      <c r="K84" s="279"/>
      <c r="L84" s="293"/>
      <c r="M84" s="108"/>
    </row>
    <row r="85" spans="1:13" ht="12.75" thickBot="1">
      <c r="A85" s="87"/>
      <c r="B85" s="280" t="s">
        <v>328</v>
      </c>
      <c r="C85" s="281"/>
      <c r="D85" s="282"/>
      <c r="E85" s="282"/>
      <c r="F85" s="283">
        <f>F81+F83</f>
        <v>0</v>
      </c>
      <c r="G85" s="284"/>
      <c r="H85" s="283" t="e">
        <f>H81+H83</f>
        <v>#VALUE!</v>
      </c>
      <c r="I85" s="284"/>
      <c r="J85" s="283" t="e">
        <f>J81+J83</f>
        <v>#VALUE!</v>
      </c>
      <c r="K85" s="284"/>
      <c r="L85" s="283" t="e">
        <f>L81+L83</f>
        <v>#REF!</v>
      </c>
      <c r="M85" s="108"/>
    </row>
    <row r="86" spans="1:13" ht="25.15" customHeight="1" thickBot="1">
      <c r="A86" s="87"/>
      <c r="B86" s="1151"/>
      <c r="C86" s="1151"/>
      <c r="D86" s="293"/>
      <c r="E86" s="293"/>
      <c r="F86" s="293"/>
      <c r="G86" s="279"/>
      <c r="H86" s="293"/>
      <c r="I86" s="279"/>
      <c r="J86" s="293"/>
      <c r="K86" s="279"/>
      <c r="L86" s="293"/>
      <c r="M86" s="108"/>
    </row>
    <row r="87" spans="1:13" ht="12.75" thickBot="1">
      <c r="A87" s="87"/>
      <c r="B87" s="280" t="s">
        <v>325</v>
      </c>
      <c r="C87" s="281"/>
      <c r="D87" s="282"/>
      <c r="E87" s="282"/>
      <c r="F87" s="283">
        <f>F70</f>
        <v>0</v>
      </c>
      <c r="G87" s="284"/>
      <c r="H87" s="283" t="e">
        <f>H70</f>
        <v>#VALUE!</v>
      </c>
      <c r="I87" s="284"/>
      <c r="J87" s="283" t="e">
        <f>J70</f>
        <v>#VALUE!</v>
      </c>
      <c r="K87" s="284"/>
      <c r="L87" s="283" t="e">
        <f>L70</f>
        <v>#REF!</v>
      </c>
      <c r="M87" s="108"/>
    </row>
    <row r="88" spans="1:13" ht="5.45" customHeight="1" thickBot="1">
      <c r="A88" s="87"/>
      <c r="B88" s="1151"/>
      <c r="C88" s="1151"/>
      <c r="D88" s="293"/>
      <c r="E88" s="293"/>
      <c r="F88" s="293"/>
      <c r="G88" s="279"/>
      <c r="H88" s="293"/>
      <c r="I88" s="279"/>
      <c r="J88" s="293"/>
      <c r="K88" s="279"/>
      <c r="L88" s="293"/>
      <c r="M88" s="108"/>
    </row>
    <row r="89" spans="1:13" ht="12.75" thickBot="1">
      <c r="A89" s="87"/>
      <c r="B89" s="280" t="s">
        <v>328</v>
      </c>
      <c r="C89" s="281"/>
      <c r="D89" s="282"/>
      <c r="E89" s="282"/>
      <c r="F89" s="283">
        <f>F85</f>
        <v>0</v>
      </c>
      <c r="G89" s="284"/>
      <c r="H89" s="283" t="e">
        <f>H85</f>
        <v>#VALUE!</v>
      </c>
      <c r="I89" s="284"/>
      <c r="J89" s="283" t="e">
        <f>J85</f>
        <v>#VALUE!</v>
      </c>
      <c r="K89" s="284"/>
      <c r="L89" s="283" t="e">
        <f>L85</f>
        <v>#REF!</v>
      </c>
      <c r="M89" s="108"/>
    </row>
    <row r="90" spans="1:13" ht="12.75" thickBot="1">
      <c r="A90" s="87"/>
      <c r="B90" s="976"/>
      <c r="C90" s="976"/>
      <c r="D90" s="144"/>
      <c r="E90" s="90"/>
      <c r="F90" s="90"/>
      <c r="G90" s="161"/>
      <c r="H90" s="156"/>
      <c r="I90" s="161"/>
      <c r="J90" s="156"/>
      <c r="K90" s="161"/>
      <c r="L90" s="156"/>
      <c r="M90" s="108"/>
    </row>
    <row r="91" spans="1:13" ht="15" customHeight="1" thickBot="1">
      <c r="A91" s="87"/>
      <c r="B91" s="157" t="s">
        <v>117</v>
      </c>
      <c r="C91" s="158"/>
      <c r="D91" s="159"/>
      <c r="E91" s="159"/>
      <c r="F91" s="160">
        <f>F87+F89</f>
        <v>0</v>
      </c>
      <c r="G91" s="163"/>
      <c r="H91" s="164" t="e">
        <f>H87+H89</f>
        <v>#VALUE!</v>
      </c>
      <c r="I91" s="165"/>
      <c r="J91" s="166" t="e">
        <f>J87+J89</f>
        <v>#VALUE!</v>
      </c>
      <c r="K91" s="167"/>
      <c r="L91" s="168" t="e">
        <f>L87+L89</f>
        <v>#REF!</v>
      </c>
      <c r="M91" s="108"/>
    </row>
    <row r="92" spans="1:13">
      <c r="A92" s="87"/>
      <c r="B92" s="88"/>
      <c r="C92" s="89"/>
      <c r="D92" s="90"/>
      <c r="E92" s="90"/>
      <c r="F92" s="90"/>
      <c r="G92" s="162"/>
      <c r="H92" s="162"/>
      <c r="I92" s="102"/>
      <c r="K92" s="102"/>
      <c r="L92" s="102"/>
      <c r="M92" s="108"/>
    </row>
    <row r="93" spans="1:13">
      <c r="A93" s="87"/>
      <c r="B93" s="88"/>
      <c r="C93" s="89"/>
      <c r="D93" s="90"/>
      <c r="E93" s="90"/>
      <c r="F93" s="90"/>
      <c r="G93" s="102"/>
      <c r="H93" s="102"/>
      <c r="I93" s="102"/>
      <c r="J93" s="102"/>
      <c r="K93" s="102"/>
      <c r="L93" s="102"/>
      <c r="M93" s="108"/>
    </row>
    <row r="94" spans="1:13">
      <c r="A94" s="84"/>
      <c r="B94" s="93"/>
      <c r="C94" s="84"/>
      <c r="D94" s="86"/>
      <c r="E94" s="86"/>
      <c r="F94" s="86"/>
      <c r="G94" s="85"/>
      <c r="H94" s="85"/>
      <c r="I94" s="85"/>
      <c r="J94" s="85"/>
      <c r="K94" s="85"/>
      <c r="L94" s="85"/>
      <c r="M94" s="108"/>
    </row>
    <row r="95" spans="1:13">
      <c r="B95" s="111" t="s">
        <v>251</v>
      </c>
      <c r="C95" s="84"/>
      <c r="D95" s="86"/>
      <c r="E95" s="86"/>
      <c r="F95" s="86"/>
      <c r="G95" s="85"/>
      <c r="H95" s="111" t="s">
        <v>263</v>
      </c>
      <c r="I95" s="85"/>
      <c r="J95" s="85"/>
      <c r="K95" s="85"/>
      <c r="L95" s="85"/>
      <c r="M95" s="108"/>
    </row>
    <row r="96" spans="1:13">
      <c r="A96" s="84"/>
      <c r="B96" s="113" t="s">
        <v>252</v>
      </c>
      <c r="C96" s="121"/>
      <c r="D96" s="123" t="s">
        <v>259</v>
      </c>
      <c r="E96" s="112"/>
      <c r="F96" s="112">
        <f>F7</f>
        <v>0</v>
      </c>
      <c r="G96" s="85"/>
      <c r="H96" s="117" t="s">
        <v>13</v>
      </c>
      <c r="I96" s="118"/>
      <c r="J96" s="120" t="s">
        <v>259</v>
      </c>
      <c r="K96" s="112"/>
      <c r="L96" s="112">
        <f>DATOS!E48</f>
        <v>0</v>
      </c>
      <c r="M96" s="108"/>
    </row>
    <row r="97" spans="1:13">
      <c r="A97" s="84"/>
      <c r="B97" s="113" t="s">
        <v>257</v>
      </c>
      <c r="C97" s="121"/>
      <c r="D97" s="123" t="s">
        <v>259</v>
      </c>
      <c r="E97" s="112"/>
      <c r="F97" s="112">
        <f>F8</f>
        <v>30000000</v>
      </c>
      <c r="G97" s="85"/>
      <c r="H97" s="117" t="s">
        <v>260</v>
      </c>
      <c r="I97" s="118"/>
      <c r="J97" s="120" t="s">
        <v>259</v>
      </c>
      <c r="K97" s="112"/>
      <c r="L97" s="112">
        <v>0</v>
      </c>
      <c r="M97" s="108"/>
    </row>
    <row r="98" spans="1:13">
      <c r="A98" s="84"/>
      <c r="B98" s="113" t="s">
        <v>258</v>
      </c>
      <c r="C98" s="121"/>
      <c r="D98" s="123" t="s">
        <v>259</v>
      </c>
      <c r="E98" s="112"/>
      <c r="F98" s="112">
        <f>F9</f>
        <v>0</v>
      </c>
      <c r="G98" s="85"/>
      <c r="H98" s="117" t="s">
        <v>261</v>
      </c>
      <c r="I98" s="118"/>
      <c r="J98" s="120" t="s">
        <v>259</v>
      </c>
      <c r="K98" s="112"/>
      <c r="L98" s="112">
        <v>0</v>
      </c>
      <c r="M98" s="108"/>
    </row>
    <row r="99" spans="1:13">
      <c r="A99" s="84"/>
      <c r="B99" s="113" t="s">
        <v>253</v>
      </c>
      <c r="C99" s="121"/>
      <c r="D99" s="123" t="s">
        <v>259</v>
      </c>
      <c r="E99" s="112" t="e">
        <f>'ACTA PARCIAL No.1'!E99</f>
        <v>#VALUE!</v>
      </c>
      <c r="F99" s="112"/>
      <c r="G99" s="85"/>
      <c r="H99" s="117" t="s">
        <v>262</v>
      </c>
      <c r="I99" s="118"/>
      <c r="J99" s="120" t="s">
        <v>259</v>
      </c>
      <c r="K99" s="112" t="e">
        <f>ROUND(E99*DATOS!$I$48,0)</f>
        <v>#VALUE!</v>
      </c>
      <c r="L99" s="112"/>
      <c r="M99" s="108"/>
    </row>
    <row r="100" spans="1:13">
      <c r="A100" s="84"/>
      <c r="B100" s="113" t="s">
        <v>272</v>
      </c>
      <c r="C100" s="121"/>
      <c r="D100" s="123" t="s">
        <v>259</v>
      </c>
      <c r="E100" s="112" t="e">
        <f>#REF!</f>
        <v>#REF!</v>
      </c>
      <c r="F100" s="112"/>
      <c r="G100" s="85"/>
      <c r="H100" s="117" t="s">
        <v>273</v>
      </c>
      <c r="I100" s="118"/>
      <c r="J100" s="120" t="s">
        <v>259</v>
      </c>
      <c r="K100" s="112" t="e">
        <f>ROUND(E100*DATOS!$I$48,0)</f>
        <v>#REF!</v>
      </c>
      <c r="L100" s="112"/>
      <c r="M100" s="108"/>
    </row>
    <row r="101" spans="1:13">
      <c r="A101" s="84"/>
      <c r="B101" s="113" t="s">
        <v>297</v>
      </c>
      <c r="C101" s="121"/>
      <c r="D101" s="123" t="s">
        <v>259</v>
      </c>
      <c r="E101" s="112" t="e">
        <f>#REF!</f>
        <v>#REF!</v>
      </c>
      <c r="F101" s="112"/>
      <c r="G101" s="85"/>
      <c r="H101" s="117" t="s">
        <v>304</v>
      </c>
      <c r="I101" s="118"/>
      <c r="J101" s="120" t="s">
        <v>259</v>
      </c>
      <c r="K101" s="112" t="e">
        <f>ROUND(E101*DATOS!$I$48,0)</f>
        <v>#REF!</v>
      </c>
      <c r="L101" s="112"/>
      <c r="M101" s="108"/>
    </row>
    <row r="102" spans="1:13">
      <c r="A102" s="84"/>
      <c r="B102" s="113" t="s">
        <v>298</v>
      </c>
      <c r="C102" s="121"/>
      <c r="D102" s="123" t="s">
        <v>259</v>
      </c>
      <c r="E102" s="112" t="e">
        <f>'ACTA PARCIAL No.4'!E102</f>
        <v>#VALUE!</v>
      </c>
      <c r="F102" s="112"/>
      <c r="G102" s="85"/>
      <c r="H102" s="117" t="s">
        <v>305</v>
      </c>
      <c r="I102" s="118"/>
      <c r="J102" s="120" t="s">
        <v>259</v>
      </c>
      <c r="K102" s="112" t="e">
        <f>ROUND(E102*DATOS!$I$48,0)</f>
        <v>#VALUE!</v>
      </c>
      <c r="L102" s="112"/>
      <c r="M102" s="108"/>
    </row>
    <row r="103" spans="1:13">
      <c r="A103" s="84"/>
      <c r="B103" s="113" t="s">
        <v>299</v>
      </c>
      <c r="C103" s="121"/>
      <c r="D103" s="123" t="s">
        <v>259</v>
      </c>
      <c r="E103" s="112" t="e">
        <f>J91</f>
        <v>#VALUE!</v>
      </c>
      <c r="F103" s="112"/>
      <c r="G103" s="85"/>
      <c r="H103" s="117" t="s">
        <v>306</v>
      </c>
      <c r="I103" s="118"/>
      <c r="J103" s="120" t="s">
        <v>259</v>
      </c>
      <c r="K103" s="112" t="e">
        <f>ROUND(E103*DATOS!$I$48,0)</f>
        <v>#VALUE!</v>
      </c>
      <c r="L103" s="112"/>
      <c r="M103" s="108"/>
    </row>
    <row r="104" spans="1:13">
      <c r="A104" s="84"/>
      <c r="B104" s="113" t="s">
        <v>254</v>
      </c>
      <c r="C104" s="121"/>
      <c r="D104" s="123" t="s">
        <v>259</v>
      </c>
      <c r="E104" s="112" t="e">
        <f>F96+F97+F98-E99-E100-E101-E102-E103</f>
        <v>#VALUE!</v>
      </c>
      <c r="F104" s="112"/>
      <c r="G104" s="85"/>
      <c r="H104" s="117" t="s">
        <v>250</v>
      </c>
      <c r="I104" s="118"/>
      <c r="J104" s="120" t="s">
        <v>259</v>
      </c>
      <c r="K104" s="112" t="e">
        <f>L96+L97+L98-K99-K100-K101-K102-K103</f>
        <v>#VALUE!</v>
      </c>
      <c r="L104" s="112"/>
      <c r="M104" s="108"/>
    </row>
    <row r="105" spans="1:13">
      <c r="A105" s="84"/>
      <c r="B105" s="114" t="s">
        <v>255</v>
      </c>
      <c r="C105" s="121"/>
      <c r="D105" s="123" t="s">
        <v>259</v>
      </c>
      <c r="E105" s="112" t="e">
        <f>SUM(E96:E104)</f>
        <v>#VALUE!</v>
      </c>
      <c r="F105" s="112">
        <f>SUM(F96:F104)</f>
        <v>30000000</v>
      </c>
      <c r="G105" s="85"/>
      <c r="H105" s="119" t="s">
        <v>255</v>
      </c>
      <c r="I105" s="118"/>
      <c r="J105" s="120" t="s">
        <v>259</v>
      </c>
      <c r="K105" s="112" t="e">
        <f>SUM(K96:K104)</f>
        <v>#VALUE!</v>
      </c>
      <c r="L105" s="112">
        <f>SUM(L96:L104)</f>
        <v>0</v>
      </c>
      <c r="M105" s="108"/>
    </row>
    <row r="106" spans="1:13">
      <c r="A106" s="84"/>
      <c r="B106" s="93"/>
      <c r="C106" s="84"/>
      <c r="D106" s="86"/>
      <c r="E106" s="86"/>
      <c r="F106" s="86"/>
      <c r="G106" s="85"/>
      <c r="I106" s="85"/>
      <c r="J106" s="85"/>
      <c r="K106" s="85"/>
      <c r="L106" s="85"/>
      <c r="M106" s="108"/>
    </row>
    <row r="107" spans="1:13">
      <c r="A107" s="84"/>
      <c r="B107" s="113" t="s">
        <v>311</v>
      </c>
      <c r="C107" s="121"/>
      <c r="D107" s="122"/>
      <c r="E107" s="123" t="s">
        <v>259</v>
      </c>
      <c r="F107" s="112">
        <f>F96+F97+F98</f>
        <v>30000000</v>
      </c>
      <c r="G107" s="85"/>
      <c r="H107" s="117" t="s">
        <v>265</v>
      </c>
      <c r="I107" s="118"/>
      <c r="J107" s="126"/>
      <c r="K107" s="120" t="s">
        <v>259</v>
      </c>
      <c r="L107" s="112" t="e">
        <f>E103</f>
        <v>#VALUE!</v>
      </c>
      <c r="M107" s="108"/>
    </row>
    <row r="108" spans="1:13">
      <c r="A108" s="84"/>
      <c r="B108" s="113" t="s">
        <v>264</v>
      </c>
      <c r="C108" s="121"/>
      <c r="D108" s="122"/>
      <c r="E108" s="123" t="s">
        <v>259</v>
      </c>
      <c r="F108" s="112" t="e">
        <f>E99+E100+E101+E102+E103</f>
        <v>#VALUE!</v>
      </c>
      <c r="G108" s="85"/>
      <c r="H108" s="117" t="s">
        <v>266</v>
      </c>
      <c r="I108" s="118"/>
      <c r="J108" s="126"/>
      <c r="K108" s="120" t="s">
        <v>259</v>
      </c>
      <c r="L108" s="112" t="e">
        <f>K103</f>
        <v>#VALUE!</v>
      </c>
      <c r="M108" s="108"/>
    </row>
    <row r="109" spans="1:13">
      <c r="A109" s="84"/>
      <c r="B109" s="113" t="s">
        <v>274</v>
      </c>
      <c r="C109" s="121"/>
      <c r="D109" s="122"/>
      <c r="E109" s="123" t="s">
        <v>259</v>
      </c>
      <c r="F109" s="112" t="e">
        <f>K104</f>
        <v>#VALUE!</v>
      </c>
      <c r="G109" s="85"/>
      <c r="H109" s="85"/>
      <c r="I109" s="85"/>
      <c r="J109" s="125"/>
      <c r="K109" s="126"/>
      <c r="L109" s="122"/>
      <c r="M109" s="108"/>
    </row>
    <row r="110" spans="1:13">
      <c r="A110" s="84"/>
      <c r="B110" s="113" t="s">
        <v>254</v>
      </c>
      <c r="C110" s="121"/>
      <c r="D110" s="122"/>
      <c r="E110" s="123" t="s">
        <v>259</v>
      </c>
      <c r="F110" s="112" t="e">
        <f>E104</f>
        <v>#VALUE!</v>
      </c>
      <c r="G110" s="85"/>
      <c r="H110" s="119" t="s">
        <v>267</v>
      </c>
      <c r="I110" s="118"/>
      <c r="J110" s="126"/>
      <c r="K110" s="120" t="s">
        <v>259</v>
      </c>
      <c r="L110" s="116" t="e">
        <f>L107-L108</f>
        <v>#VALUE!</v>
      </c>
      <c r="M110" s="108"/>
    </row>
    <row r="111" spans="1:13">
      <c r="A111" s="84"/>
      <c r="B111" s="114" t="s">
        <v>256</v>
      </c>
      <c r="C111" s="121"/>
      <c r="D111" s="122"/>
      <c r="E111" s="123"/>
      <c r="F111" s="124" t="e">
        <f>F108/F107</f>
        <v>#VALUE!</v>
      </c>
      <c r="G111" s="85"/>
      <c r="H111" s="85"/>
      <c r="I111" s="85"/>
      <c r="J111" s="85"/>
      <c r="K111" s="85"/>
      <c r="L111" s="85"/>
      <c r="M111" s="108"/>
    </row>
    <row r="112" spans="1:13">
      <c r="A112" s="84"/>
      <c r="B112" s="93"/>
      <c r="C112" s="84"/>
      <c r="D112" s="86"/>
      <c r="E112" s="86"/>
      <c r="F112" s="86"/>
      <c r="G112" s="85"/>
      <c r="H112" s="85"/>
      <c r="I112" s="85"/>
      <c r="J112" s="85"/>
      <c r="K112" s="85"/>
      <c r="L112" s="85"/>
      <c r="M112" s="108"/>
    </row>
    <row r="113" spans="1:13" ht="12.75" thickBot="1">
      <c r="A113" s="84"/>
      <c r="B113" s="93"/>
      <c r="C113" s="84"/>
      <c r="D113" s="86"/>
      <c r="E113" s="86"/>
      <c r="F113" s="86"/>
      <c r="G113" s="85"/>
      <c r="H113" s="85"/>
      <c r="I113" s="85"/>
      <c r="J113" s="85"/>
      <c r="K113" s="85"/>
      <c r="L113" s="85"/>
      <c r="M113" s="108"/>
    </row>
    <row r="114" spans="1:13" ht="15" customHeight="1" thickBot="1">
      <c r="A114" s="84"/>
      <c r="B114" s="93" t="s">
        <v>268</v>
      </c>
      <c r="C114" s="1144"/>
      <c r="D114" s="1145"/>
      <c r="E114" s="1145"/>
      <c r="F114" s="1145"/>
      <c r="G114" s="1145"/>
      <c r="H114" s="1145"/>
      <c r="I114" s="1145"/>
      <c r="J114" s="1145"/>
      <c r="K114" s="1145"/>
      <c r="L114" s="1146"/>
      <c r="M114" s="108"/>
    </row>
    <row r="115" spans="1:13">
      <c r="A115" s="84"/>
      <c r="B115" s="93"/>
      <c r="C115" s="84"/>
      <c r="D115" s="86"/>
      <c r="E115" s="86"/>
      <c r="F115" s="86"/>
      <c r="G115" s="85"/>
      <c r="H115" s="85"/>
      <c r="I115" s="85"/>
      <c r="J115" s="85"/>
      <c r="K115" s="85"/>
      <c r="L115" s="85"/>
      <c r="M115" s="108"/>
    </row>
    <row r="116" spans="1:13">
      <c r="A116" s="84"/>
      <c r="B116" s="93"/>
      <c r="C116" s="84"/>
      <c r="D116" s="86"/>
      <c r="E116" s="86"/>
      <c r="F116" s="86"/>
      <c r="G116" s="85"/>
      <c r="H116" s="85"/>
      <c r="I116" s="85"/>
      <c r="J116" s="85"/>
      <c r="K116" s="85"/>
      <c r="L116" s="85"/>
      <c r="M116" s="108"/>
    </row>
    <row r="117" spans="1:13" ht="26.45" customHeight="1">
      <c r="A117" s="84"/>
      <c r="B117" s="1066" t="s">
        <v>269</v>
      </c>
      <c r="C117" s="1066"/>
      <c r="D117" s="1066"/>
      <c r="E117" s="1066"/>
      <c r="F117" s="1066"/>
      <c r="G117" s="1066"/>
      <c r="H117" s="1066"/>
      <c r="I117" s="1066"/>
      <c r="J117" s="1066"/>
      <c r="K117" s="1066"/>
      <c r="L117" s="1066"/>
      <c r="M117" s="108"/>
    </row>
    <row r="118" spans="1:13">
      <c r="A118" s="84"/>
      <c r="B118" s="94"/>
      <c r="C118" s="84"/>
      <c r="D118" s="86"/>
      <c r="E118" s="86"/>
      <c r="F118" s="86"/>
      <c r="G118" s="85"/>
      <c r="H118" s="85"/>
      <c r="I118" s="85"/>
      <c r="J118" s="85"/>
      <c r="K118" s="85"/>
      <c r="L118" s="85"/>
      <c r="M118" s="108"/>
    </row>
    <row r="119" spans="1:13">
      <c r="A119" s="84"/>
      <c r="B119" s="94"/>
      <c r="C119" s="84"/>
      <c r="D119" s="86"/>
      <c r="E119" s="86"/>
      <c r="F119" s="86"/>
      <c r="G119" s="85"/>
      <c r="H119" s="85"/>
      <c r="I119" s="85"/>
      <c r="J119" s="85"/>
      <c r="K119" s="85"/>
      <c r="L119" s="85"/>
      <c r="M119" s="108"/>
    </row>
    <row r="120" spans="1:13">
      <c r="A120" s="84"/>
      <c r="B120" s="94"/>
      <c r="C120" s="84"/>
      <c r="D120" s="86"/>
      <c r="E120" s="86"/>
      <c r="F120" s="86"/>
      <c r="G120" s="85"/>
      <c r="H120" s="85"/>
      <c r="I120" s="85"/>
      <c r="J120" s="85"/>
      <c r="K120" s="85"/>
      <c r="L120" s="85"/>
      <c r="M120" s="108"/>
    </row>
    <row r="121" spans="1:13">
      <c r="A121" s="84"/>
      <c r="B121" s="94"/>
      <c r="C121" s="84"/>
      <c r="D121" s="86"/>
      <c r="E121" s="86"/>
      <c r="F121" s="86"/>
      <c r="G121" s="85"/>
      <c r="H121" s="85"/>
      <c r="I121" s="85"/>
      <c r="J121" s="85"/>
      <c r="K121" s="85"/>
      <c r="L121" s="85"/>
      <c r="M121" s="108"/>
    </row>
    <row r="122" spans="1:13">
      <c r="A122" s="84"/>
      <c r="B122" s="94"/>
      <c r="C122" s="84"/>
      <c r="D122" s="86"/>
      <c r="E122" s="86"/>
      <c r="F122" s="86"/>
      <c r="G122" s="85"/>
      <c r="H122" s="85"/>
      <c r="I122" s="85"/>
      <c r="J122" s="85"/>
      <c r="K122" s="85"/>
      <c r="L122" s="85"/>
      <c r="M122" s="108"/>
    </row>
    <row r="123" spans="1:13">
      <c r="A123" s="84"/>
      <c r="B123" s="85" t="s">
        <v>271</v>
      </c>
      <c r="C123" s="84"/>
      <c r="D123" s="86"/>
      <c r="E123" s="85" t="s">
        <v>271</v>
      </c>
      <c r="F123" s="86"/>
      <c r="G123" s="85"/>
      <c r="H123" s="85"/>
      <c r="I123" s="85"/>
      <c r="J123" s="85" t="s">
        <v>271</v>
      </c>
      <c r="K123" s="85"/>
      <c r="L123" s="85"/>
      <c r="M123" s="108"/>
    </row>
    <row r="124" spans="1:13">
      <c r="A124" s="84"/>
      <c r="B124" s="115">
        <f>IF(DATOS!E16="Persona Jurídica",DATOS!G20,DATOS!G16)</f>
        <v>0</v>
      </c>
      <c r="C124" s="84"/>
      <c r="D124" s="86"/>
      <c r="E124" s="128">
        <f>IF(DATOS!E10="CONTRATO DE OBRA",IF(DATOS!E24="Persona Jurídica",DATOS!G28,DATOS!G24),DATOS!G30)</f>
        <v>0</v>
      </c>
      <c r="F124" s="86"/>
      <c r="G124" s="85"/>
      <c r="H124" s="85"/>
      <c r="I124" s="85"/>
      <c r="J124" s="115">
        <f>DATOS!E42</f>
        <v>0</v>
      </c>
      <c r="K124" s="85"/>
      <c r="L124" s="85"/>
      <c r="M124" s="108"/>
    </row>
    <row r="125" spans="1:13">
      <c r="A125" s="84"/>
      <c r="B125" s="85" t="str">
        <f>IF(DATOS!E16="Persona Jurídica",DATOS!G16,"CONTRATISTA")</f>
        <v>CONTRATISTA</v>
      </c>
      <c r="C125" s="84"/>
      <c r="D125" s="86"/>
      <c r="E125" s="127" t="str">
        <f>IF(DATOS!E24="Persona Jurídica",DATOS!G24,"INTERVENTOR")</f>
        <v>INTERVENTOR</v>
      </c>
      <c r="F125" s="86"/>
      <c r="G125" s="85"/>
      <c r="H125" s="85"/>
      <c r="I125" s="85"/>
      <c r="J125" s="85" t="s">
        <v>330</v>
      </c>
      <c r="K125" s="85"/>
      <c r="L125" s="85"/>
      <c r="M125" s="108"/>
    </row>
    <row r="126" spans="1:13">
      <c r="A126" s="84"/>
      <c r="B126" s="85" t="str">
        <f>IF(DATOS!E16="Persona jurídica","CONTRATISTA"," ")</f>
        <v xml:space="preserve"> </v>
      </c>
      <c r="C126" s="84"/>
      <c r="D126" s="86"/>
      <c r="E126" s="127" t="str">
        <f>IF(DATOS!E24="Persona jurídica","INTERVENTOR"," ")</f>
        <v xml:space="preserve"> </v>
      </c>
      <c r="F126" s="86"/>
      <c r="G126" s="85"/>
      <c r="H126" s="85"/>
      <c r="I126" s="85"/>
      <c r="J126" s="85" t="s">
        <v>270</v>
      </c>
      <c r="K126" s="85"/>
      <c r="L126" s="85"/>
      <c r="M126" s="108"/>
    </row>
    <row r="127" spans="1:13">
      <c r="A127" s="84"/>
      <c r="B127" s="85"/>
      <c r="C127" s="84"/>
      <c r="D127" s="86"/>
      <c r="E127" s="86"/>
      <c r="F127" s="86"/>
      <c r="G127" s="85"/>
      <c r="H127" s="85"/>
      <c r="I127" s="85"/>
      <c r="J127" s="85"/>
      <c r="K127" s="85"/>
      <c r="L127" s="85"/>
      <c r="M127" s="108"/>
    </row>
    <row r="128" spans="1:13">
      <c r="A128" s="84"/>
      <c r="B128" s="85"/>
      <c r="C128" s="84"/>
      <c r="D128" s="86"/>
      <c r="E128" s="86"/>
      <c r="F128" s="86"/>
      <c r="G128" s="85"/>
      <c r="H128" s="85"/>
      <c r="I128" s="85"/>
      <c r="J128" s="85"/>
      <c r="K128" s="85"/>
      <c r="L128" s="85"/>
      <c r="M128" s="108"/>
    </row>
    <row r="129" spans="1:13">
      <c r="A129" s="84"/>
      <c r="B129" s="85"/>
      <c r="C129" s="84"/>
      <c r="D129" s="86"/>
      <c r="E129" s="86"/>
      <c r="F129" s="86"/>
      <c r="G129" s="85"/>
      <c r="H129" s="85"/>
      <c r="I129" s="85"/>
      <c r="J129" s="85"/>
      <c r="K129" s="85"/>
      <c r="L129" s="85"/>
      <c r="M129" s="108"/>
    </row>
    <row r="130" spans="1:13">
      <c r="A130" s="84"/>
      <c r="B130" s="85"/>
      <c r="C130" s="84"/>
      <c r="D130" s="86"/>
      <c r="E130" s="86"/>
      <c r="F130" s="86"/>
      <c r="G130" s="85"/>
      <c r="H130" s="85"/>
      <c r="I130" s="85"/>
      <c r="J130" s="85"/>
      <c r="K130" s="85"/>
      <c r="L130" s="85"/>
      <c r="M130" s="108"/>
    </row>
    <row r="131" spans="1:13">
      <c r="A131" s="84"/>
      <c r="B131" s="85"/>
      <c r="C131" s="84"/>
      <c r="D131" s="86"/>
      <c r="E131" s="86"/>
      <c r="F131" s="86"/>
      <c r="G131" s="85"/>
      <c r="H131" s="85"/>
      <c r="I131" s="85"/>
      <c r="J131" s="85"/>
      <c r="K131" s="85"/>
      <c r="L131" s="85"/>
      <c r="M131" s="108"/>
    </row>
    <row r="132" spans="1:13">
      <c r="A132" s="84"/>
      <c r="B132" s="85"/>
      <c r="C132" s="84"/>
      <c r="D132" s="86"/>
      <c r="E132" s="86"/>
      <c r="F132" s="86"/>
      <c r="G132" s="85"/>
      <c r="H132" s="85"/>
      <c r="I132" s="85"/>
      <c r="J132" s="85"/>
      <c r="K132" s="85"/>
      <c r="L132" s="85"/>
      <c r="M132" s="108"/>
    </row>
    <row r="133" spans="1:13">
      <c r="A133" s="84"/>
      <c r="B133" s="85"/>
      <c r="C133" s="84"/>
      <c r="D133" s="86"/>
      <c r="E133" s="86"/>
      <c r="F133" s="86"/>
      <c r="G133" s="85"/>
      <c r="H133" s="85"/>
      <c r="I133" s="85"/>
      <c r="J133" s="85"/>
      <c r="K133" s="85"/>
      <c r="L133" s="85"/>
      <c r="M133" s="108"/>
    </row>
    <row r="134" spans="1:13">
      <c r="A134" s="84"/>
      <c r="B134" s="85"/>
      <c r="C134" s="84"/>
      <c r="D134" s="86"/>
      <c r="E134" s="86"/>
      <c r="F134" s="86"/>
      <c r="G134" s="85"/>
      <c r="H134" s="85"/>
      <c r="I134" s="85"/>
      <c r="J134" s="85"/>
      <c r="K134" s="85"/>
      <c r="L134" s="85"/>
      <c r="M134" s="108"/>
    </row>
    <row r="135" spans="1:13">
      <c r="A135" s="84"/>
      <c r="B135" s="85"/>
      <c r="C135" s="84"/>
      <c r="D135" s="86"/>
      <c r="E135" s="86"/>
      <c r="F135" s="86"/>
      <c r="G135" s="85"/>
      <c r="H135" s="85"/>
      <c r="I135" s="85"/>
      <c r="J135" s="85"/>
      <c r="K135" s="85"/>
      <c r="L135" s="85"/>
      <c r="M135" s="108"/>
    </row>
    <row r="136" spans="1:13">
      <c r="A136" s="84"/>
      <c r="B136" s="85"/>
      <c r="C136" s="84"/>
      <c r="D136" s="86"/>
      <c r="E136" s="86"/>
      <c r="F136" s="86"/>
      <c r="G136" s="85"/>
      <c r="H136" s="85"/>
      <c r="I136" s="85"/>
      <c r="J136" s="85"/>
      <c r="K136" s="85"/>
      <c r="L136" s="85"/>
      <c r="M136" s="108"/>
    </row>
    <row r="137" spans="1:13">
      <c r="A137" s="84"/>
      <c r="B137" s="85"/>
      <c r="C137" s="84"/>
      <c r="D137" s="86"/>
      <c r="E137" s="86"/>
      <c r="F137" s="86"/>
      <c r="G137" s="85"/>
      <c r="H137" s="85"/>
      <c r="I137" s="85"/>
      <c r="J137" s="85"/>
      <c r="K137" s="85"/>
      <c r="L137" s="85"/>
      <c r="M137" s="108"/>
    </row>
    <row r="138" spans="1:13">
      <c r="A138" s="84"/>
      <c r="B138" s="85"/>
      <c r="C138" s="84"/>
      <c r="D138" s="86"/>
      <c r="E138" s="86"/>
      <c r="F138" s="86"/>
      <c r="G138" s="85"/>
      <c r="H138" s="85"/>
      <c r="I138" s="85"/>
      <c r="J138" s="85"/>
      <c r="K138" s="85"/>
      <c r="L138" s="85"/>
      <c r="M138" s="108"/>
    </row>
    <row r="139" spans="1:13">
      <c r="A139" s="84"/>
      <c r="B139" s="85"/>
      <c r="C139" s="84"/>
      <c r="D139" s="86"/>
      <c r="E139" s="86"/>
      <c r="F139" s="86"/>
      <c r="G139" s="85"/>
      <c r="H139" s="85"/>
      <c r="I139" s="85"/>
      <c r="J139" s="85"/>
      <c r="K139" s="85"/>
      <c r="L139" s="85"/>
      <c r="M139" s="108"/>
    </row>
    <row r="140" spans="1:13">
      <c r="A140" s="84"/>
      <c r="B140" s="85"/>
      <c r="C140" s="84"/>
      <c r="D140" s="86"/>
      <c r="E140" s="86"/>
      <c r="F140" s="86"/>
      <c r="G140" s="85"/>
      <c r="H140" s="85"/>
      <c r="I140" s="85"/>
      <c r="J140" s="85"/>
      <c r="K140" s="85"/>
      <c r="L140" s="85"/>
      <c r="M140" s="108"/>
    </row>
    <row r="141" spans="1:13">
      <c r="A141" s="84"/>
      <c r="B141" s="85"/>
      <c r="C141" s="84"/>
      <c r="D141" s="86"/>
      <c r="E141" s="86"/>
      <c r="F141" s="86"/>
      <c r="G141" s="85"/>
      <c r="H141" s="85"/>
      <c r="I141" s="85"/>
      <c r="J141" s="85"/>
      <c r="K141" s="85"/>
      <c r="L141" s="85"/>
      <c r="M141" s="108"/>
    </row>
    <row r="142" spans="1:13">
      <c r="A142" s="84"/>
      <c r="B142" s="85"/>
      <c r="C142" s="84"/>
      <c r="D142" s="86"/>
      <c r="E142" s="86"/>
      <c r="F142" s="86"/>
      <c r="G142" s="85"/>
      <c r="H142" s="85"/>
      <c r="I142" s="85"/>
      <c r="J142" s="85"/>
      <c r="K142" s="85"/>
      <c r="L142" s="85"/>
      <c r="M142" s="108"/>
    </row>
    <row r="143" spans="1:13">
      <c r="A143" s="84"/>
      <c r="B143" s="85"/>
      <c r="C143" s="84"/>
      <c r="D143" s="86"/>
      <c r="E143" s="86"/>
      <c r="F143" s="86"/>
      <c r="G143" s="85"/>
      <c r="H143" s="85"/>
      <c r="I143" s="85"/>
      <c r="J143" s="85"/>
      <c r="K143" s="85"/>
      <c r="L143" s="85"/>
      <c r="M143" s="108"/>
    </row>
    <row r="144" spans="1:13">
      <c r="A144" s="84"/>
      <c r="B144" s="85"/>
      <c r="C144" s="84"/>
      <c r="D144" s="86"/>
      <c r="E144" s="86"/>
      <c r="F144" s="86"/>
      <c r="G144" s="85"/>
      <c r="H144" s="85"/>
      <c r="I144" s="85"/>
      <c r="J144" s="85"/>
      <c r="K144" s="85"/>
      <c r="L144" s="85"/>
      <c r="M144" s="108"/>
    </row>
    <row r="145" spans="1:13">
      <c r="A145" s="84"/>
      <c r="B145" s="85"/>
      <c r="C145" s="84"/>
      <c r="D145" s="86"/>
      <c r="E145" s="86"/>
      <c r="F145" s="86"/>
      <c r="G145" s="85"/>
      <c r="H145" s="85"/>
      <c r="I145" s="85"/>
      <c r="J145" s="85"/>
      <c r="K145" s="85"/>
      <c r="L145" s="85"/>
      <c r="M145" s="108"/>
    </row>
    <row r="146" spans="1:13">
      <c r="A146" s="84"/>
      <c r="B146" s="85"/>
      <c r="C146" s="84"/>
      <c r="D146" s="86"/>
      <c r="E146" s="86"/>
      <c r="F146" s="86"/>
      <c r="G146" s="85"/>
      <c r="H146" s="85"/>
      <c r="I146" s="85"/>
      <c r="J146" s="85"/>
      <c r="K146" s="85"/>
      <c r="L146" s="85"/>
      <c r="M146" s="108"/>
    </row>
    <row r="147" spans="1:13">
      <c r="A147" s="84"/>
      <c r="B147" s="85"/>
      <c r="C147" s="84"/>
      <c r="D147" s="86"/>
      <c r="E147" s="86"/>
      <c r="F147" s="86"/>
      <c r="G147" s="85"/>
      <c r="H147" s="85"/>
      <c r="I147" s="85"/>
      <c r="J147" s="85"/>
      <c r="K147" s="85"/>
      <c r="L147" s="85"/>
      <c r="M147" s="108"/>
    </row>
    <row r="148" spans="1:13">
      <c r="A148" s="84"/>
      <c r="B148" s="85"/>
      <c r="C148" s="84"/>
      <c r="D148" s="86"/>
      <c r="E148" s="86"/>
      <c r="F148" s="86"/>
      <c r="G148" s="85"/>
      <c r="H148" s="85"/>
      <c r="I148" s="85"/>
      <c r="J148" s="85"/>
      <c r="K148" s="85"/>
      <c r="L148" s="85"/>
      <c r="M148" s="108"/>
    </row>
    <row r="149" spans="1:13">
      <c r="A149" s="84"/>
      <c r="B149" s="85"/>
      <c r="C149" s="84"/>
      <c r="D149" s="86"/>
      <c r="E149" s="86"/>
      <c r="F149" s="86"/>
      <c r="G149" s="85"/>
      <c r="H149" s="85"/>
      <c r="I149" s="85"/>
      <c r="J149" s="85"/>
      <c r="K149" s="85"/>
      <c r="L149" s="85"/>
      <c r="M149" s="108"/>
    </row>
    <row r="150" spans="1:13">
      <c r="A150" s="84"/>
      <c r="B150" s="85"/>
      <c r="C150" s="84"/>
      <c r="D150" s="86"/>
      <c r="E150" s="86"/>
      <c r="F150" s="86"/>
      <c r="G150" s="85"/>
      <c r="H150" s="85"/>
      <c r="I150" s="85"/>
      <c r="J150" s="85"/>
      <c r="K150" s="85"/>
      <c r="L150" s="85"/>
      <c r="M150" s="108"/>
    </row>
    <row r="151" spans="1:13">
      <c r="A151" s="84"/>
      <c r="B151" s="85"/>
      <c r="C151" s="84"/>
      <c r="D151" s="86"/>
      <c r="E151" s="86"/>
      <c r="F151" s="86"/>
      <c r="G151" s="85"/>
      <c r="H151" s="85"/>
      <c r="I151" s="85"/>
      <c r="J151" s="85"/>
      <c r="K151" s="85"/>
      <c r="L151" s="85"/>
      <c r="M151" s="108"/>
    </row>
    <row r="152" spans="1:13">
      <c r="A152" s="84"/>
      <c r="B152" s="85"/>
      <c r="C152" s="84"/>
      <c r="D152" s="86"/>
      <c r="E152" s="86"/>
      <c r="F152" s="86"/>
      <c r="G152" s="85"/>
      <c r="H152" s="85"/>
      <c r="I152" s="85"/>
      <c r="J152" s="85"/>
      <c r="K152" s="85"/>
      <c r="L152" s="85"/>
      <c r="M152" s="108"/>
    </row>
    <row r="153" spans="1:13">
      <c r="A153" s="84"/>
      <c r="B153" s="85"/>
      <c r="C153" s="84"/>
      <c r="D153" s="86"/>
      <c r="E153" s="86"/>
      <c r="F153" s="86"/>
      <c r="G153" s="85"/>
      <c r="H153" s="85"/>
      <c r="I153" s="85"/>
      <c r="J153" s="85"/>
      <c r="K153" s="85"/>
      <c r="L153" s="85"/>
      <c r="M153" s="108"/>
    </row>
    <row r="154" spans="1:13">
      <c r="A154" s="84"/>
      <c r="B154" s="85"/>
      <c r="C154" s="84"/>
      <c r="D154" s="86"/>
      <c r="E154" s="86"/>
      <c r="F154" s="86"/>
      <c r="G154" s="85"/>
      <c r="H154" s="85"/>
      <c r="I154" s="85"/>
      <c r="J154" s="85"/>
      <c r="K154" s="85"/>
      <c r="L154" s="85"/>
      <c r="M154" s="108"/>
    </row>
    <row r="155" spans="1:13">
      <c r="A155" s="84"/>
      <c r="B155" s="85"/>
      <c r="C155" s="84"/>
      <c r="D155" s="86"/>
      <c r="E155" s="86"/>
      <c r="F155" s="86"/>
      <c r="G155" s="85"/>
      <c r="H155" s="85"/>
      <c r="I155" s="85"/>
      <c r="J155" s="85"/>
      <c r="K155" s="85"/>
      <c r="L155" s="85"/>
      <c r="M155" s="108"/>
    </row>
    <row r="156" spans="1:13">
      <c r="A156" s="84"/>
      <c r="B156" s="85"/>
      <c r="C156" s="84"/>
      <c r="D156" s="86"/>
      <c r="E156" s="86"/>
      <c r="F156" s="86"/>
      <c r="G156" s="85"/>
      <c r="H156" s="85"/>
      <c r="I156" s="85"/>
      <c r="J156" s="85"/>
      <c r="K156" s="85"/>
      <c r="L156" s="85"/>
      <c r="M156" s="108"/>
    </row>
    <row r="157" spans="1:13">
      <c r="A157" s="84"/>
      <c r="B157" s="85"/>
      <c r="C157" s="84"/>
      <c r="D157" s="86"/>
      <c r="E157" s="86"/>
      <c r="F157" s="86"/>
      <c r="G157" s="85"/>
      <c r="H157" s="85"/>
      <c r="I157" s="85"/>
      <c r="J157" s="85"/>
      <c r="K157" s="85"/>
      <c r="L157" s="85"/>
      <c r="M157" s="108"/>
    </row>
    <row r="158" spans="1:13">
      <c r="A158" s="84"/>
      <c r="B158" s="85"/>
      <c r="C158" s="84"/>
      <c r="D158" s="86"/>
      <c r="E158" s="86"/>
      <c r="F158" s="86"/>
      <c r="G158" s="85"/>
      <c r="H158" s="85"/>
      <c r="I158" s="85"/>
      <c r="J158" s="85"/>
      <c r="K158" s="85"/>
      <c r="L158" s="85"/>
      <c r="M158" s="108"/>
    </row>
    <row r="159" spans="1:13">
      <c r="A159" s="84"/>
      <c r="B159" s="85"/>
      <c r="C159" s="84"/>
      <c r="D159" s="86"/>
      <c r="E159" s="86"/>
      <c r="F159" s="86"/>
      <c r="G159" s="85"/>
      <c r="H159" s="85"/>
      <c r="I159" s="85"/>
      <c r="J159" s="85"/>
      <c r="K159" s="85"/>
      <c r="L159" s="85"/>
      <c r="M159" s="108"/>
    </row>
    <row r="160" spans="1:13">
      <c r="A160" s="84"/>
      <c r="B160" s="85"/>
      <c r="C160" s="84"/>
      <c r="D160" s="86"/>
      <c r="E160" s="86"/>
      <c r="F160" s="86"/>
      <c r="G160" s="85"/>
      <c r="H160" s="85"/>
      <c r="I160" s="85"/>
      <c r="J160" s="85"/>
      <c r="K160" s="85"/>
      <c r="L160" s="85"/>
      <c r="M160" s="108"/>
    </row>
    <row r="161" spans="1:13">
      <c r="A161" s="84"/>
      <c r="B161" s="85"/>
      <c r="C161" s="84"/>
      <c r="D161" s="86"/>
      <c r="E161" s="86"/>
      <c r="F161" s="86"/>
      <c r="G161" s="85"/>
      <c r="H161" s="85"/>
      <c r="I161" s="85"/>
      <c r="J161" s="85"/>
      <c r="K161" s="85"/>
      <c r="L161" s="85"/>
      <c r="M161" s="108"/>
    </row>
  </sheetData>
  <mergeCells count="31">
    <mergeCell ref="B117:L117"/>
    <mergeCell ref="B69:C69"/>
    <mergeCell ref="B84:C84"/>
    <mergeCell ref="B86:C86"/>
    <mergeCell ref="B88:C88"/>
    <mergeCell ref="B90:C90"/>
    <mergeCell ref="C114:L114"/>
    <mergeCell ref="K12:L13"/>
    <mergeCell ref="F13:G13"/>
    <mergeCell ref="A15:A16"/>
    <mergeCell ref="B15:B16"/>
    <mergeCell ref="C15:F15"/>
    <mergeCell ref="G15:H15"/>
    <mergeCell ref="I15:J15"/>
    <mergeCell ref="K15:L15"/>
    <mergeCell ref="A10:A13"/>
    <mergeCell ref="B10:B13"/>
    <mergeCell ref="F10:G10"/>
    <mergeCell ref="F11:G11"/>
    <mergeCell ref="F12:G12"/>
    <mergeCell ref="K4:L11"/>
    <mergeCell ref="A1:B9"/>
    <mergeCell ref="C1:J1"/>
    <mergeCell ref="F7:G7"/>
    <mergeCell ref="F8:G8"/>
    <mergeCell ref="F9:G9"/>
    <mergeCell ref="F2:G2"/>
    <mergeCell ref="F3:G3"/>
    <mergeCell ref="F4:G4"/>
    <mergeCell ref="F5:G5"/>
    <mergeCell ref="F6:G6"/>
  </mergeCells>
  <conditionalFormatting sqref="F11:G11">
    <cfRule type="expression" dxfId="282" priority="23">
      <formula>$F$11&gt;0</formula>
    </cfRule>
  </conditionalFormatting>
  <conditionalFormatting sqref="F12:G12">
    <cfRule type="expression" dxfId="281" priority="22">
      <formula>$F$12&gt;0</formula>
    </cfRule>
  </conditionalFormatting>
  <conditionalFormatting sqref="F13:G13">
    <cfRule type="expression" dxfId="280" priority="21">
      <formula>$F$13&gt;0</formula>
    </cfRule>
  </conditionalFormatting>
  <conditionalFormatting sqref="J3">
    <cfRule type="expression" dxfId="279" priority="20">
      <formula>$J$3&gt;0</formula>
    </cfRule>
  </conditionalFormatting>
  <conditionalFormatting sqref="J4">
    <cfRule type="expression" dxfId="278" priority="19">
      <formula>$J$4&gt;0</formula>
    </cfRule>
  </conditionalFormatting>
  <conditionalFormatting sqref="J5">
    <cfRule type="expression" dxfId="277" priority="18">
      <formula>$J$5&gt;0</formula>
    </cfRule>
  </conditionalFormatting>
  <conditionalFormatting sqref="J6">
    <cfRule type="expression" dxfId="276" priority="17">
      <formula>$J$6&gt;0</formula>
    </cfRule>
  </conditionalFormatting>
  <conditionalFormatting sqref="J7">
    <cfRule type="expression" dxfId="275" priority="16">
      <formula>$J$7&gt;0</formula>
    </cfRule>
  </conditionalFormatting>
  <conditionalFormatting sqref="J8">
    <cfRule type="expression" dxfId="274" priority="15">
      <formula>$J$8&gt;0</formula>
    </cfRule>
  </conditionalFormatting>
  <conditionalFormatting sqref="J9">
    <cfRule type="expression" dxfId="273" priority="14">
      <formula>$J$9&gt;0</formula>
    </cfRule>
  </conditionalFormatting>
  <conditionalFormatting sqref="J10">
    <cfRule type="expression" dxfId="272" priority="12">
      <formula>$J$10&gt;0</formula>
    </cfRule>
    <cfRule type="expression" dxfId="271" priority="13">
      <formula>$J$10&gt;0</formula>
    </cfRule>
  </conditionalFormatting>
  <conditionalFormatting sqref="J11">
    <cfRule type="expression" dxfId="270" priority="11">
      <formula>$J$11&gt;0</formula>
    </cfRule>
  </conditionalFormatting>
  <conditionalFormatting sqref="J12">
    <cfRule type="expression" dxfId="269" priority="10">
      <formula>$J$12&gt;0</formula>
    </cfRule>
  </conditionalFormatting>
  <conditionalFormatting sqref="F4:G4">
    <cfRule type="expression" dxfId="268" priority="9">
      <formula>$F$4=" "</formula>
    </cfRule>
  </conditionalFormatting>
  <conditionalFormatting sqref="F6:G6">
    <cfRule type="expression" dxfId="267" priority="8">
      <formula>$F$6=" "</formula>
    </cfRule>
  </conditionalFormatting>
  <conditionalFormatting sqref="I17:I19">
    <cfRule type="expression" dxfId="266" priority="7">
      <formula>I17&gt;G17</formula>
    </cfRule>
  </conditionalFormatting>
  <conditionalFormatting sqref="I61 I63">
    <cfRule type="expression" dxfId="265" priority="6">
      <formula>I61&gt;G61</formula>
    </cfRule>
  </conditionalFormatting>
  <conditionalFormatting sqref="I71 I80">
    <cfRule type="expression" dxfId="264" priority="5">
      <formula>I71&gt;G71</formula>
    </cfRule>
  </conditionalFormatting>
  <conditionalFormatting sqref="I20:I60 I72:I78">
    <cfRule type="expression" dxfId="263" priority="4">
      <formula>$K20&gt;$G20</formula>
    </cfRule>
  </conditionalFormatting>
  <conditionalFormatting sqref="I62">
    <cfRule type="expression" dxfId="262" priority="3">
      <formula>I62&gt;G62</formula>
    </cfRule>
  </conditionalFormatting>
  <conditionalFormatting sqref="I79">
    <cfRule type="expression" dxfId="261" priority="2">
      <formula>I79&gt;G79</formula>
    </cfRule>
  </conditionalFormatting>
  <conditionalFormatting sqref="F108">
    <cfRule type="expression" dxfId="260" priority="1">
      <formula>$F$108&lt;&gt;$L$91</formula>
    </cfRule>
  </conditionalFormatting>
  <printOptions horizontalCentered="1"/>
  <pageMargins left="0.43307086614173229" right="0.43307086614173229" top="0.59055118110236227" bottom="0.59055118110236227" header="0.31496062992125984" footer="0.31496062992125984"/>
  <pageSetup scale="64" orientation="landscape" r:id="rId1"/>
  <headerFooter>
    <oddFooter>&amp;C&amp;"-,Cursiva"&amp;10&amp;A&amp;R&amp;"-,Cursiva"&amp;10Página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61</vt:i4>
      </vt:variant>
    </vt:vector>
  </HeadingPairs>
  <TitlesOfParts>
    <vt:vector size="98" baseType="lpstr">
      <vt:lpstr>DATOS</vt:lpstr>
      <vt:lpstr>AUX</vt:lpstr>
      <vt:lpstr>INICIO</vt:lpstr>
      <vt:lpstr>PPTO</vt:lpstr>
      <vt:lpstr>ACTA MODIFICACIÓN No.1</vt:lpstr>
      <vt:lpstr>PREACTA</vt:lpstr>
      <vt:lpstr>ACTA PARCIAL No.1</vt:lpstr>
      <vt:lpstr>ACTA PARCIAL No.4</vt:lpstr>
      <vt:lpstr>ACTA PARCIAL No.5</vt:lpstr>
      <vt:lpstr>ACTA PARCIAL No.6</vt:lpstr>
      <vt:lpstr>ACTA PARCIAL No.7</vt:lpstr>
      <vt:lpstr>ACTA PARCIAL No.8</vt:lpstr>
      <vt:lpstr>ACTA PARCIAL No.9</vt:lpstr>
      <vt:lpstr>ACTA PARCIAL No.10</vt:lpstr>
      <vt:lpstr>ACTA MODIFICACIÓN No.2</vt:lpstr>
      <vt:lpstr>ACTA MODIFICACIÓN No.3</vt:lpstr>
      <vt:lpstr>ACTA FINAL</vt:lpstr>
      <vt:lpstr>SUSP 1</vt:lpstr>
      <vt:lpstr>REINIC 1</vt:lpstr>
      <vt:lpstr>SUSP 2</vt:lpstr>
      <vt:lpstr>REINIC 2</vt:lpstr>
      <vt:lpstr>ACTA ENTREGA DE OBRAS</vt:lpstr>
      <vt:lpstr>SUSP 3</vt:lpstr>
      <vt:lpstr>REINIC 3</vt:lpstr>
      <vt:lpstr>REINIC 8</vt:lpstr>
      <vt:lpstr>REINIC 9</vt:lpstr>
      <vt:lpstr>REINIC 10</vt:lpstr>
      <vt:lpstr>SUSP 4</vt:lpstr>
      <vt:lpstr>SUSP 5</vt:lpstr>
      <vt:lpstr>SUSP 6</vt:lpstr>
      <vt:lpstr>SUSP 7</vt:lpstr>
      <vt:lpstr>SUSP 8</vt:lpstr>
      <vt:lpstr>SUSP 9</vt:lpstr>
      <vt:lpstr>SUSP 10</vt:lpstr>
      <vt:lpstr>BALANCE REFORMULACION </vt:lpstr>
      <vt:lpstr>BALANCE REFORMULACION</vt:lpstr>
      <vt:lpstr>ACTA DE LIQUIDACION  </vt:lpstr>
      <vt:lpstr>'ACTA DE LIQUIDACION  '!Área_de_impresión</vt:lpstr>
      <vt:lpstr>'ACTA FINAL'!Área_de_impresión</vt:lpstr>
      <vt:lpstr>'ACTA MODIFICACIÓN No.1'!Área_de_impresión</vt:lpstr>
      <vt:lpstr>'ACTA MODIFICACIÓN No.2'!Área_de_impresión</vt:lpstr>
      <vt:lpstr>'ACTA MODIFICACIÓN No.3'!Área_de_impresión</vt:lpstr>
      <vt:lpstr>'ACTA PARCIAL No.1'!Área_de_impresión</vt:lpstr>
      <vt:lpstr>'ACTA PARCIAL No.10'!Área_de_impresión</vt:lpstr>
      <vt:lpstr>'ACTA PARCIAL No.4'!Área_de_impresión</vt:lpstr>
      <vt:lpstr>'ACTA PARCIAL No.5'!Área_de_impresión</vt:lpstr>
      <vt:lpstr>'ACTA PARCIAL No.6'!Área_de_impresión</vt:lpstr>
      <vt:lpstr>'ACTA PARCIAL No.7'!Área_de_impresión</vt:lpstr>
      <vt:lpstr>'ACTA PARCIAL No.8'!Área_de_impresión</vt:lpstr>
      <vt:lpstr>'ACTA PARCIAL No.9'!Área_de_impresión</vt:lpstr>
      <vt:lpstr>DATOS!Área_de_impresión</vt:lpstr>
      <vt:lpstr>INICIO!Área_de_impresión</vt:lpstr>
      <vt:lpstr>PPTO!Área_de_impresión</vt:lpstr>
      <vt:lpstr>'REINIC 1'!Área_de_impresión</vt:lpstr>
      <vt:lpstr>'REINIC 10'!Área_de_impresión</vt:lpstr>
      <vt:lpstr>'REINIC 2'!Área_de_impresión</vt:lpstr>
      <vt:lpstr>'REINIC 3'!Área_de_impresión</vt:lpstr>
      <vt:lpstr>'REINIC 8'!Área_de_impresión</vt:lpstr>
      <vt:lpstr>'REINIC 9'!Área_de_impresión</vt:lpstr>
      <vt:lpstr>'SUSP 1'!Área_de_impresión</vt:lpstr>
      <vt:lpstr>'SUSP 10'!Área_de_impresión</vt:lpstr>
      <vt:lpstr>'SUSP 3'!Área_de_impresión</vt:lpstr>
      <vt:lpstr>'SUSP 4'!Área_de_impresión</vt:lpstr>
      <vt:lpstr>'SUSP 5'!Área_de_impresión</vt:lpstr>
      <vt:lpstr>'SUSP 6'!Área_de_impresión</vt:lpstr>
      <vt:lpstr>'SUSP 7'!Área_de_impresión</vt:lpstr>
      <vt:lpstr>'SUSP 8'!Área_de_impresión</vt:lpstr>
      <vt:lpstr>'SUSP 9'!Área_de_impresión</vt:lpstr>
      <vt:lpstr>'ACTA ENTREGA DE OBRAS'!Títulos_a_imprimir</vt:lpstr>
      <vt:lpstr>'ACTA FINAL'!Títulos_a_imprimir</vt:lpstr>
      <vt:lpstr>'ACTA MODIFICACIÓN No.1'!Títulos_a_imprimir</vt:lpstr>
      <vt:lpstr>'ACTA MODIFICACIÓN No.2'!Títulos_a_imprimir</vt:lpstr>
      <vt:lpstr>'ACTA MODIFICACIÓN No.3'!Títulos_a_imprimir</vt:lpstr>
      <vt:lpstr>'ACTA PARCIAL No.1'!Títulos_a_imprimir</vt:lpstr>
      <vt:lpstr>'ACTA PARCIAL No.10'!Títulos_a_imprimir</vt:lpstr>
      <vt:lpstr>'ACTA PARCIAL No.4'!Títulos_a_imprimir</vt:lpstr>
      <vt:lpstr>'ACTA PARCIAL No.5'!Títulos_a_imprimir</vt:lpstr>
      <vt:lpstr>'ACTA PARCIAL No.6'!Títulos_a_imprimir</vt:lpstr>
      <vt:lpstr>'ACTA PARCIAL No.7'!Títulos_a_imprimir</vt:lpstr>
      <vt:lpstr>'ACTA PARCIAL No.8'!Títulos_a_imprimir</vt:lpstr>
      <vt:lpstr>'ACTA PARCIAL No.9'!Títulos_a_imprimir</vt:lpstr>
      <vt:lpstr>PPTO!Títulos_a_imprimir</vt:lpstr>
      <vt:lpstr>'REINIC 1'!Títulos_a_imprimir</vt:lpstr>
      <vt:lpstr>'REINIC 10'!Títulos_a_imprimir</vt:lpstr>
      <vt:lpstr>'REINIC 2'!Títulos_a_imprimir</vt:lpstr>
      <vt:lpstr>'REINIC 3'!Títulos_a_imprimir</vt:lpstr>
      <vt:lpstr>'REINIC 8'!Títulos_a_imprimir</vt:lpstr>
      <vt:lpstr>'REINIC 9'!Títulos_a_imprimir</vt:lpstr>
      <vt:lpstr>'SUSP 1'!Títulos_a_imprimir</vt:lpstr>
      <vt:lpstr>'SUSP 10'!Títulos_a_imprimir</vt:lpstr>
      <vt:lpstr>'SUSP 2'!Títulos_a_imprimir</vt:lpstr>
      <vt:lpstr>'SUSP 3'!Títulos_a_imprimir</vt:lpstr>
      <vt:lpstr>'SUSP 4'!Títulos_a_imprimir</vt:lpstr>
      <vt:lpstr>'SUSP 5'!Títulos_a_imprimir</vt:lpstr>
      <vt:lpstr>'SUSP 6'!Títulos_a_imprimir</vt:lpstr>
      <vt:lpstr>'SUSP 7'!Títulos_a_imprimir</vt:lpstr>
      <vt:lpstr>'SUSP 8'!Títulos_a_imprimir</vt:lpstr>
      <vt:lpstr>'SUSP 9'!Títulos_a_imprimir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Correa</dc:creator>
  <cp:lastModifiedBy>Sistemas</cp:lastModifiedBy>
  <cp:lastPrinted>2016-12-13T22:19:56Z</cp:lastPrinted>
  <dcterms:created xsi:type="dcterms:W3CDTF">2016-06-10T21:55:29Z</dcterms:created>
  <dcterms:modified xsi:type="dcterms:W3CDTF">2017-06-28T05:46:34Z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ada2136d-adbc-4ba1-b93f-dfb57c6e2fbd</vt:lpwstr>
  </property>
</Properties>
</file>